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9120" activeTab="0"/>
  </bookViews>
  <sheets>
    <sheet name="Iade" sheetId="1" r:id="rId1"/>
    <sheet name="Ibode" sheetId="2" r:id="rId2"/>
    <sheet name="Ide" sheetId="3" r:id="rId3"/>
    <sheet name="Cadre IDE" sheetId="4" r:id="rId4"/>
    <sheet name="Cadre sup" sheetId="5" r:id="rId5"/>
    <sheet name="Récap" sheetId="6" r:id="rId6"/>
  </sheets>
  <definedNames/>
  <calcPr fullCalcOnLoad="1"/>
</workbook>
</file>

<file path=xl/sharedStrings.xml><?xml version="1.0" encoding="utf-8"?>
<sst xmlns="http://schemas.openxmlformats.org/spreadsheetml/2006/main" count="259" uniqueCount="64">
  <si>
    <t>Echelon</t>
  </si>
  <si>
    <t>Indice majoré</t>
  </si>
  <si>
    <t>Salaire brut</t>
  </si>
  <si>
    <t>% salaire net</t>
  </si>
  <si>
    <t>salaire net</t>
  </si>
  <si>
    <t>départ possible à 55 ans</t>
  </si>
  <si>
    <t>1 an de bonification tous les 10 ans travaillés</t>
  </si>
  <si>
    <t>retraite à 60 ans</t>
  </si>
  <si>
    <t>Ancienne grille IADE classe sup</t>
  </si>
  <si>
    <t>carrière</t>
  </si>
  <si>
    <t>Indice :</t>
  </si>
  <si>
    <t>Année de naissance :</t>
  </si>
  <si>
    <t>Année début travail :</t>
  </si>
  <si>
    <t>Année</t>
  </si>
  <si>
    <t>Age</t>
  </si>
  <si>
    <t>Ancienneté</t>
  </si>
  <si>
    <t>Rachat années étude (nombre)</t>
  </si>
  <si>
    <t>Année armée (nombre)</t>
  </si>
  <si>
    <t>catégorie A active</t>
  </si>
  <si>
    <t>Retraite</t>
  </si>
  <si>
    <t>Décôte (%)</t>
  </si>
  <si>
    <t>Surcôte (%)</t>
  </si>
  <si>
    <t>perte année de bonification</t>
  </si>
  <si>
    <t>Gain salaire</t>
  </si>
  <si>
    <t>Ancienne grille IBODE classe sup</t>
  </si>
  <si>
    <t>catégorie A inactive</t>
  </si>
  <si>
    <t>retraite = 66% des 25 meilleures années soit environ</t>
  </si>
  <si>
    <t>retraite pleine = 75% des 6 derniers mois soit environ</t>
  </si>
  <si>
    <t>Nouvelle grille IADE classe sup pour 2012 applicable en 2015</t>
  </si>
  <si>
    <t>Nouvelle grille IBODE classe sup pour 2012 applicable en 2015</t>
  </si>
  <si>
    <t>Années cotisation nécessaire</t>
  </si>
  <si>
    <t>Remplir ces cinq cases</t>
  </si>
  <si>
    <t>Ancienne grille IDE classe sup</t>
  </si>
  <si>
    <t>Nouvelle grille IDE classe sup pour 2012 applicable en 2015</t>
  </si>
  <si>
    <t>catégorie B active</t>
  </si>
  <si>
    <t>Enfants pour les femmes (nombre)</t>
  </si>
  <si>
    <t>Nouvelle grille cadre IDE pour 2012 applicable en 2015</t>
  </si>
  <si>
    <t>Ancienne grille cadre IDE</t>
  </si>
  <si>
    <t>Décote : 2% par trimestre non fait soit 8% par an</t>
  </si>
  <si>
    <t>Surcote : 2% par an</t>
  </si>
  <si>
    <t>Souhaits CGT</t>
  </si>
  <si>
    <t>IADE : début carrière x2SMIC</t>
  </si>
  <si>
    <t>IADE : fin carrière x2 salaire initial</t>
  </si>
  <si>
    <t>avant IDE début carrière 1,4 SMIC, maintenant 1,1 SMIC</t>
  </si>
  <si>
    <t>environ 8000 IADE en France</t>
  </si>
  <si>
    <t>départ à 60 ans</t>
  </si>
  <si>
    <t>Ancienne grille cadre sup</t>
  </si>
  <si>
    <t>Nouvelle grille cadre sup pour 2012 applicable en 2015</t>
  </si>
  <si>
    <t>Prime :</t>
  </si>
  <si>
    <t>si IBODE : NBI de 19 points</t>
  </si>
  <si>
    <t>si IADE : NBI de 41 points</t>
  </si>
  <si>
    <t>IDE</t>
  </si>
  <si>
    <t>IBODE</t>
  </si>
  <si>
    <t>IADE</t>
  </si>
  <si>
    <t>Cadre</t>
  </si>
  <si>
    <t>Cadre sup</t>
  </si>
  <si>
    <t>avant</t>
  </si>
  <si>
    <t>après</t>
  </si>
  <si>
    <t>Retraite possible</t>
  </si>
  <si>
    <t>gain</t>
  </si>
  <si>
    <t>perte</t>
  </si>
  <si>
    <t>encadrement : 1829,40€ / an</t>
  </si>
  <si>
    <t>encadrement : 914,64€ / an</t>
  </si>
  <si>
    <t>Salaire maxi possible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</si>
</sst>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0.0%"/>
  </numFmts>
  <fonts count="2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44" fontId="0" fillId="0" borderId="0" applyFon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4" fontId="0" fillId="0" borderId="0" xfId="4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4" fontId="3" fillId="0" borderId="0" xfId="44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0" fillId="0" borderId="0" xfId="51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65" fontId="0" fillId="0" borderId="12" xfId="51" applyNumberFormat="1" applyFont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44" fontId="0" fillId="0" borderId="0" xfId="44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4" fontId="0" fillId="0" borderId="12" xfId="44" applyFont="1" applyBorder="1" applyAlignment="1">
      <alignment horizontal="center" vertical="center"/>
    </xf>
    <xf numFmtId="44" fontId="3" fillId="0" borderId="12" xfId="44" applyFont="1" applyBorder="1" applyAlignment="1">
      <alignment horizontal="center" vertical="center"/>
    </xf>
    <xf numFmtId="165" fontId="0" fillId="0" borderId="0" xfId="51" applyNumberFormat="1" applyFont="1" applyBorder="1" applyAlignment="1">
      <alignment horizontal="center" vertical="center"/>
    </xf>
    <xf numFmtId="165" fontId="0" fillId="0" borderId="12" xfId="51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5" fontId="0" fillId="0" borderId="0" xfId="51" applyNumberFormat="1" applyFont="1" applyFill="1" applyBorder="1" applyAlignment="1">
      <alignment horizontal="center" vertical="center"/>
    </xf>
    <xf numFmtId="44" fontId="0" fillId="0" borderId="13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44" fontId="0" fillId="0" borderId="16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44" fontId="3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44" fontId="0" fillId="2" borderId="0" xfId="44" applyFont="1" applyFill="1" applyAlignment="1">
      <alignment horizontal="center" vertical="center"/>
    </xf>
    <xf numFmtId="44" fontId="3" fillId="2" borderId="0" xfId="44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44" fontId="3" fillId="2" borderId="0" xfId="0" applyNumberFormat="1" applyFont="1" applyFill="1" applyAlignment="1">
      <alignment vertical="center"/>
    </xf>
    <xf numFmtId="0" fontId="5" fillId="25" borderId="17" xfId="0" applyFont="1" applyFill="1" applyBorder="1" applyAlignment="1" applyProtection="1">
      <alignment horizontal="center" vertical="center"/>
      <protection locked="0"/>
    </xf>
    <xf numFmtId="0" fontId="5" fillId="25" borderId="18" xfId="0" applyFont="1" applyFill="1" applyBorder="1" applyAlignment="1" applyProtection="1">
      <alignment horizontal="center" vertical="center"/>
      <protection locked="0"/>
    </xf>
    <xf numFmtId="0" fontId="5" fillId="25" borderId="1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2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4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9" borderId="21" xfId="0" applyFont="1" applyFill="1" applyBorder="1" applyAlignment="1">
      <alignment/>
    </xf>
    <xf numFmtId="0" fontId="0" fillId="8" borderId="21" xfId="0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4" fontId="0" fillId="8" borderId="21" xfId="0" applyNumberFormat="1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21" xfId="0" applyFont="1" applyFill="1" applyBorder="1" applyAlignment="1">
      <alignment horizontal="center"/>
    </xf>
    <xf numFmtId="44" fontId="0" fillId="9" borderId="21" xfId="0" applyNumberForma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13</xdr:row>
      <xdr:rowOff>57150</xdr:rowOff>
    </xdr:from>
    <xdr:to>
      <xdr:col>5</xdr:col>
      <xdr:colOff>609600</xdr:colOff>
      <xdr:row>14</xdr:row>
      <xdr:rowOff>0</xdr:rowOff>
    </xdr:to>
    <xdr:sp>
      <xdr:nvSpPr>
        <xdr:cNvPr id="1" name="Flèche gauche 1"/>
        <xdr:cNvSpPr>
          <a:spLocks/>
        </xdr:cNvSpPr>
      </xdr:nvSpPr>
      <xdr:spPr>
        <a:xfrm>
          <a:off x="3171825" y="2219325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14</xdr:row>
      <xdr:rowOff>66675</xdr:rowOff>
    </xdr:from>
    <xdr:to>
      <xdr:col>5</xdr:col>
      <xdr:colOff>600075</xdr:colOff>
      <xdr:row>15</xdr:row>
      <xdr:rowOff>9525</xdr:rowOff>
    </xdr:to>
    <xdr:sp>
      <xdr:nvSpPr>
        <xdr:cNvPr id="2" name="Flèche gauche 2"/>
        <xdr:cNvSpPr>
          <a:spLocks/>
        </xdr:cNvSpPr>
      </xdr:nvSpPr>
      <xdr:spPr>
        <a:xfrm>
          <a:off x="3162300" y="2390775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15</xdr:row>
      <xdr:rowOff>66675</xdr:rowOff>
    </xdr:from>
    <xdr:to>
      <xdr:col>5</xdr:col>
      <xdr:colOff>609600</xdr:colOff>
      <xdr:row>16</xdr:row>
      <xdr:rowOff>9525</xdr:rowOff>
    </xdr:to>
    <xdr:sp>
      <xdr:nvSpPr>
        <xdr:cNvPr id="3" name="Flèche gauche 3"/>
        <xdr:cNvSpPr>
          <a:spLocks/>
        </xdr:cNvSpPr>
      </xdr:nvSpPr>
      <xdr:spPr>
        <a:xfrm>
          <a:off x="3171825" y="255270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16</xdr:row>
      <xdr:rowOff>57150</xdr:rowOff>
    </xdr:from>
    <xdr:to>
      <xdr:col>5</xdr:col>
      <xdr:colOff>609600</xdr:colOff>
      <xdr:row>17</xdr:row>
      <xdr:rowOff>0</xdr:rowOff>
    </xdr:to>
    <xdr:sp>
      <xdr:nvSpPr>
        <xdr:cNvPr id="4" name="Flèche gauche 4"/>
        <xdr:cNvSpPr>
          <a:spLocks/>
        </xdr:cNvSpPr>
      </xdr:nvSpPr>
      <xdr:spPr>
        <a:xfrm>
          <a:off x="3171825" y="270510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28575</xdr:rowOff>
    </xdr:from>
    <xdr:to>
      <xdr:col>8</xdr:col>
      <xdr:colOff>723900</xdr:colOff>
      <xdr:row>16</xdr:row>
      <xdr:rowOff>152400</xdr:rowOff>
    </xdr:to>
    <xdr:sp>
      <xdr:nvSpPr>
        <xdr:cNvPr id="5" name="Parchemin horizontal 5"/>
        <xdr:cNvSpPr>
          <a:spLocks/>
        </xdr:cNvSpPr>
      </xdr:nvSpPr>
      <xdr:spPr>
        <a:xfrm>
          <a:off x="3829050" y="2190750"/>
          <a:ext cx="2228850" cy="609600"/>
        </a:xfrm>
        <a:prstGeom prst="horizontalScroll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17</xdr:row>
      <xdr:rowOff>57150</xdr:rowOff>
    </xdr:from>
    <xdr:to>
      <xdr:col>5</xdr:col>
      <xdr:colOff>609600</xdr:colOff>
      <xdr:row>18</xdr:row>
      <xdr:rowOff>0</xdr:rowOff>
    </xdr:to>
    <xdr:sp>
      <xdr:nvSpPr>
        <xdr:cNvPr id="6" name="Flèche gauche 4"/>
        <xdr:cNvSpPr>
          <a:spLocks/>
        </xdr:cNvSpPr>
      </xdr:nvSpPr>
      <xdr:spPr>
        <a:xfrm>
          <a:off x="3171825" y="2867025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17</xdr:row>
      <xdr:rowOff>28575</xdr:rowOff>
    </xdr:from>
    <xdr:to>
      <xdr:col>5</xdr:col>
      <xdr:colOff>638175</xdr:colOff>
      <xdr:row>17</xdr:row>
      <xdr:rowOff>123825</xdr:rowOff>
    </xdr:to>
    <xdr:sp>
      <xdr:nvSpPr>
        <xdr:cNvPr id="1" name="Flèche gauche 1"/>
        <xdr:cNvSpPr>
          <a:spLocks/>
        </xdr:cNvSpPr>
      </xdr:nvSpPr>
      <xdr:spPr>
        <a:xfrm>
          <a:off x="3200400" y="2847975"/>
          <a:ext cx="485775" cy="95250"/>
        </a:xfrm>
        <a:prstGeom prst="leftArrow">
          <a:avLst>
            <a:gd name="adj" fmla="val -4019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18</xdr:row>
      <xdr:rowOff>19050</xdr:rowOff>
    </xdr:from>
    <xdr:to>
      <xdr:col>5</xdr:col>
      <xdr:colOff>638175</xdr:colOff>
      <xdr:row>18</xdr:row>
      <xdr:rowOff>133350</xdr:rowOff>
    </xdr:to>
    <xdr:sp>
      <xdr:nvSpPr>
        <xdr:cNvPr id="2" name="Flèche gauche 2"/>
        <xdr:cNvSpPr>
          <a:spLocks/>
        </xdr:cNvSpPr>
      </xdr:nvSpPr>
      <xdr:spPr>
        <a:xfrm>
          <a:off x="3200400" y="3000375"/>
          <a:ext cx="485775" cy="114300"/>
        </a:xfrm>
        <a:prstGeom prst="leftArrow">
          <a:avLst>
            <a:gd name="adj" fmla="val -382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19</xdr:row>
      <xdr:rowOff>38100</xdr:rowOff>
    </xdr:from>
    <xdr:to>
      <xdr:col>5</xdr:col>
      <xdr:colOff>638175</xdr:colOff>
      <xdr:row>19</xdr:row>
      <xdr:rowOff>142875</xdr:rowOff>
    </xdr:to>
    <xdr:sp>
      <xdr:nvSpPr>
        <xdr:cNvPr id="3" name="Flèche gauche 3"/>
        <xdr:cNvSpPr>
          <a:spLocks/>
        </xdr:cNvSpPr>
      </xdr:nvSpPr>
      <xdr:spPr>
        <a:xfrm>
          <a:off x="3200400" y="318135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20</xdr:row>
      <xdr:rowOff>28575</xdr:rowOff>
    </xdr:from>
    <xdr:to>
      <xdr:col>5</xdr:col>
      <xdr:colOff>638175</xdr:colOff>
      <xdr:row>20</xdr:row>
      <xdr:rowOff>133350</xdr:rowOff>
    </xdr:to>
    <xdr:sp>
      <xdr:nvSpPr>
        <xdr:cNvPr id="4" name="Flèche gauche 4"/>
        <xdr:cNvSpPr>
          <a:spLocks/>
        </xdr:cNvSpPr>
      </xdr:nvSpPr>
      <xdr:spPr>
        <a:xfrm>
          <a:off x="3200400" y="333375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17</xdr:row>
      <xdr:rowOff>28575</xdr:rowOff>
    </xdr:from>
    <xdr:to>
      <xdr:col>8</xdr:col>
      <xdr:colOff>742950</xdr:colOff>
      <xdr:row>20</xdr:row>
      <xdr:rowOff>152400</xdr:rowOff>
    </xdr:to>
    <xdr:sp>
      <xdr:nvSpPr>
        <xdr:cNvPr id="5" name="Parchemin horizontal 7"/>
        <xdr:cNvSpPr>
          <a:spLocks/>
        </xdr:cNvSpPr>
      </xdr:nvSpPr>
      <xdr:spPr>
        <a:xfrm>
          <a:off x="3848100" y="2847975"/>
          <a:ext cx="2228850" cy="609600"/>
        </a:xfrm>
        <a:prstGeom prst="horizontalScroll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21</xdr:row>
      <xdr:rowOff>57150</xdr:rowOff>
    </xdr:from>
    <xdr:to>
      <xdr:col>5</xdr:col>
      <xdr:colOff>657225</xdr:colOff>
      <xdr:row>22</xdr:row>
      <xdr:rowOff>0</xdr:rowOff>
    </xdr:to>
    <xdr:sp>
      <xdr:nvSpPr>
        <xdr:cNvPr id="6" name="Flèche gauche 4"/>
        <xdr:cNvSpPr>
          <a:spLocks/>
        </xdr:cNvSpPr>
      </xdr:nvSpPr>
      <xdr:spPr>
        <a:xfrm>
          <a:off x="3219450" y="352425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17</xdr:row>
      <xdr:rowOff>28575</xdr:rowOff>
    </xdr:from>
    <xdr:to>
      <xdr:col>5</xdr:col>
      <xdr:colOff>638175</xdr:colOff>
      <xdr:row>17</xdr:row>
      <xdr:rowOff>123825</xdr:rowOff>
    </xdr:to>
    <xdr:sp>
      <xdr:nvSpPr>
        <xdr:cNvPr id="1" name="Flèche gauche 1"/>
        <xdr:cNvSpPr>
          <a:spLocks/>
        </xdr:cNvSpPr>
      </xdr:nvSpPr>
      <xdr:spPr>
        <a:xfrm>
          <a:off x="3200400" y="2847975"/>
          <a:ext cx="485775" cy="95250"/>
        </a:xfrm>
        <a:prstGeom prst="leftArrow">
          <a:avLst>
            <a:gd name="adj" fmla="val -4019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18</xdr:row>
      <xdr:rowOff>19050</xdr:rowOff>
    </xdr:from>
    <xdr:to>
      <xdr:col>5</xdr:col>
      <xdr:colOff>638175</xdr:colOff>
      <xdr:row>18</xdr:row>
      <xdr:rowOff>133350</xdr:rowOff>
    </xdr:to>
    <xdr:sp>
      <xdr:nvSpPr>
        <xdr:cNvPr id="2" name="Flèche gauche 2"/>
        <xdr:cNvSpPr>
          <a:spLocks/>
        </xdr:cNvSpPr>
      </xdr:nvSpPr>
      <xdr:spPr>
        <a:xfrm>
          <a:off x="3200400" y="3000375"/>
          <a:ext cx="485775" cy="114300"/>
        </a:xfrm>
        <a:prstGeom prst="leftArrow">
          <a:avLst>
            <a:gd name="adj" fmla="val -382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19</xdr:row>
      <xdr:rowOff>38100</xdr:rowOff>
    </xdr:from>
    <xdr:to>
      <xdr:col>5</xdr:col>
      <xdr:colOff>638175</xdr:colOff>
      <xdr:row>19</xdr:row>
      <xdr:rowOff>142875</xdr:rowOff>
    </xdr:to>
    <xdr:sp>
      <xdr:nvSpPr>
        <xdr:cNvPr id="3" name="Flèche gauche 3"/>
        <xdr:cNvSpPr>
          <a:spLocks/>
        </xdr:cNvSpPr>
      </xdr:nvSpPr>
      <xdr:spPr>
        <a:xfrm>
          <a:off x="3200400" y="318135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20</xdr:row>
      <xdr:rowOff>28575</xdr:rowOff>
    </xdr:from>
    <xdr:to>
      <xdr:col>5</xdr:col>
      <xdr:colOff>638175</xdr:colOff>
      <xdr:row>20</xdr:row>
      <xdr:rowOff>133350</xdr:rowOff>
    </xdr:to>
    <xdr:sp>
      <xdr:nvSpPr>
        <xdr:cNvPr id="4" name="Flèche gauche 4"/>
        <xdr:cNvSpPr>
          <a:spLocks/>
        </xdr:cNvSpPr>
      </xdr:nvSpPr>
      <xdr:spPr>
        <a:xfrm>
          <a:off x="3200400" y="333375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17</xdr:row>
      <xdr:rowOff>28575</xdr:rowOff>
    </xdr:from>
    <xdr:to>
      <xdr:col>8</xdr:col>
      <xdr:colOff>742950</xdr:colOff>
      <xdr:row>20</xdr:row>
      <xdr:rowOff>152400</xdr:rowOff>
    </xdr:to>
    <xdr:sp>
      <xdr:nvSpPr>
        <xdr:cNvPr id="5" name="Parchemin horizontal 5"/>
        <xdr:cNvSpPr>
          <a:spLocks/>
        </xdr:cNvSpPr>
      </xdr:nvSpPr>
      <xdr:spPr>
        <a:xfrm>
          <a:off x="3848100" y="2847975"/>
          <a:ext cx="2228850" cy="609600"/>
        </a:xfrm>
        <a:prstGeom prst="horizontalScroll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21</xdr:row>
      <xdr:rowOff>57150</xdr:rowOff>
    </xdr:from>
    <xdr:to>
      <xdr:col>5</xdr:col>
      <xdr:colOff>657225</xdr:colOff>
      <xdr:row>22</xdr:row>
      <xdr:rowOff>0</xdr:rowOff>
    </xdr:to>
    <xdr:sp>
      <xdr:nvSpPr>
        <xdr:cNvPr id="6" name="Flèche gauche 4"/>
        <xdr:cNvSpPr>
          <a:spLocks/>
        </xdr:cNvSpPr>
      </xdr:nvSpPr>
      <xdr:spPr>
        <a:xfrm>
          <a:off x="3219450" y="352425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17</xdr:row>
      <xdr:rowOff>28575</xdr:rowOff>
    </xdr:from>
    <xdr:to>
      <xdr:col>5</xdr:col>
      <xdr:colOff>638175</xdr:colOff>
      <xdr:row>17</xdr:row>
      <xdr:rowOff>123825</xdr:rowOff>
    </xdr:to>
    <xdr:sp>
      <xdr:nvSpPr>
        <xdr:cNvPr id="1" name="Flèche gauche 1"/>
        <xdr:cNvSpPr>
          <a:spLocks/>
        </xdr:cNvSpPr>
      </xdr:nvSpPr>
      <xdr:spPr>
        <a:xfrm>
          <a:off x="3200400" y="2847975"/>
          <a:ext cx="485775" cy="95250"/>
        </a:xfrm>
        <a:prstGeom prst="leftArrow">
          <a:avLst>
            <a:gd name="adj" fmla="val -4019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18</xdr:row>
      <xdr:rowOff>19050</xdr:rowOff>
    </xdr:from>
    <xdr:to>
      <xdr:col>5</xdr:col>
      <xdr:colOff>638175</xdr:colOff>
      <xdr:row>18</xdr:row>
      <xdr:rowOff>133350</xdr:rowOff>
    </xdr:to>
    <xdr:sp>
      <xdr:nvSpPr>
        <xdr:cNvPr id="2" name="Flèche gauche 2"/>
        <xdr:cNvSpPr>
          <a:spLocks/>
        </xdr:cNvSpPr>
      </xdr:nvSpPr>
      <xdr:spPr>
        <a:xfrm>
          <a:off x="3200400" y="3000375"/>
          <a:ext cx="485775" cy="114300"/>
        </a:xfrm>
        <a:prstGeom prst="leftArrow">
          <a:avLst>
            <a:gd name="adj" fmla="val -382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19</xdr:row>
      <xdr:rowOff>38100</xdr:rowOff>
    </xdr:from>
    <xdr:to>
      <xdr:col>5</xdr:col>
      <xdr:colOff>638175</xdr:colOff>
      <xdr:row>19</xdr:row>
      <xdr:rowOff>142875</xdr:rowOff>
    </xdr:to>
    <xdr:sp>
      <xdr:nvSpPr>
        <xdr:cNvPr id="3" name="Flèche gauche 3"/>
        <xdr:cNvSpPr>
          <a:spLocks/>
        </xdr:cNvSpPr>
      </xdr:nvSpPr>
      <xdr:spPr>
        <a:xfrm>
          <a:off x="3200400" y="318135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20</xdr:row>
      <xdr:rowOff>28575</xdr:rowOff>
    </xdr:from>
    <xdr:to>
      <xdr:col>5</xdr:col>
      <xdr:colOff>638175</xdr:colOff>
      <xdr:row>20</xdr:row>
      <xdr:rowOff>133350</xdr:rowOff>
    </xdr:to>
    <xdr:sp>
      <xdr:nvSpPr>
        <xdr:cNvPr id="4" name="Flèche gauche 4"/>
        <xdr:cNvSpPr>
          <a:spLocks/>
        </xdr:cNvSpPr>
      </xdr:nvSpPr>
      <xdr:spPr>
        <a:xfrm>
          <a:off x="3200400" y="333375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17</xdr:row>
      <xdr:rowOff>28575</xdr:rowOff>
    </xdr:from>
    <xdr:to>
      <xdr:col>8</xdr:col>
      <xdr:colOff>742950</xdr:colOff>
      <xdr:row>20</xdr:row>
      <xdr:rowOff>152400</xdr:rowOff>
    </xdr:to>
    <xdr:sp>
      <xdr:nvSpPr>
        <xdr:cNvPr id="5" name="Parchemin horizontal 5"/>
        <xdr:cNvSpPr>
          <a:spLocks/>
        </xdr:cNvSpPr>
      </xdr:nvSpPr>
      <xdr:spPr>
        <a:xfrm>
          <a:off x="3848100" y="2847975"/>
          <a:ext cx="2228850" cy="609600"/>
        </a:xfrm>
        <a:prstGeom prst="horizontalScroll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21</xdr:row>
      <xdr:rowOff>57150</xdr:rowOff>
    </xdr:from>
    <xdr:to>
      <xdr:col>5</xdr:col>
      <xdr:colOff>657225</xdr:colOff>
      <xdr:row>22</xdr:row>
      <xdr:rowOff>0</xdr:rowOff>
    </xdr:to>
    <xdr:sp>
      <xdr:nvSpPr>
        <xdr:cNvPr id="6" name="Flèche gauche 4"/>
        <xdr:cNvSpPr>
          <a:spLocks/>
        </xdr:cNvSpPr>
      </xdr:nvSpPr>
      <xdr:spPr>
        <a:xfrm>
          <a:off x="3219450" y="352425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13</xdr:row>
      <xdr:rowOff>57150</xdr:rowOff>
    </xdr:from>
    <xdr:to>
      <xdr:col>5</xdr:col>
      <xdr:colOff>609600</xdr:colOff>
      <xdr:row>14</xdr:row>
      <xdr:rowOff>0</xdr:rowOff>
    </xdr:to>
    <xdr:sp>
      <xdr:nvSpPr>
        <xdr:cNvPr id="1" name="Flèche gauche 1"/>
        <xdr:cNvSpPr>
          <a:spLocks/>
        </xdr:cNvSpPr>
      </xdr:nvSpPr>
      <xdr:spPr>
        <a:xfrm>
          <a:off x="3171825" y="222885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14</xdr:row>
      <xdr:rowOff>66675</xdr:rowOff>
    </xdr:from>
    <xdr:to>
      <xdr:col>5</xdr:col>
      <xdr:colOff>600075</xdr:colOff>
      <xdr:row>15</xdr:row>
      <xdr:rowOff>9525</xdr:rowOff>
    </xdr:to>
    <xdr:sp>
      <xdr:nvSpPr>
        <xdr:cNvPr id="2" name="Flèche gauche 2"/>
        <xdr:cNvSpPr>
          <a:spLocks/>
        </xdr:cNvSpPr>
      </xdr:nvSpPr>
      <xdr:spPr>
        <a:xfrm>
          <a:off x="3162300" y="240030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15</xdr:row>
      <xdr:rowOff>66675</xdr:rowOff>
    </xdr:from>
    <xdr:to>
      <xdr:col>5</xdr:col>
      <xdr:colOff>609600</xdr:colOff>
      <xdr:row>16</xdr:row>
      <xdr:rowOff>9525</xdr:rowOff>
    </xdr:to>
    <xdr:sp>
      <xdr:nvSpPr>
        <xdr:cNvPr id="3" name="Flèche gauche 3"/>
        <xdr:cNvSpPr>
          <a:spLocks/>
        </xdr:cNvSpPr>
      </xdr:nvSpPr>
      <xdr:spPr>
        <a:xfrm>
          <a:off x="3171825" y="2562225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16</xdr:row>
      <xdr:rowOff>57150</xdr:rowOff>
    </xdr:from>
    <xdr:to>
      <xdr:col>5</xdr:col>
      <xdr:colOff>609600</xdr:colOff>
      <xdr:row>17</xdr:row>
      <xdr:rowOff>0</xdr:rowOff>
    </xdr:to>
    <xdr:sp>
      <xdr:nvSpPr>
        <xdr:cNvPr id="4" name="Flèche gauche 4"/>
        <xdr:cNvSpPr>
          <a:spLocks/>
        </xdr:cNvSpPr>
      </xdr:nvSpPr>
      <xdr:spPr>
        <a:xfrm>
          <a:off x="3171825" y="2714625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28575</xdr:rowOff>
    </xdr:from>
    <xdr:to>
      <xdr:col>8</xdr:col>
      <xdr:colOff>723900</xdr:colOff>
      <xdr:row>16</xdr:row>
      <xdr:rowOff>152400</xdr:rowOff>
    </xdr:to>
    <xdr:sp>
      <xdr:nvSpPr>
        <xdr:cNvPr id="5" name="Parchemin horizontal 5"/>
        <xdr:cNvSpPr>
          <a:spLocks/>
        </xdr:cNvSpPr>
      </xdr:nvSpPr>
      <xdr:spPr>
        <a:xfrm>
          <a:off x="3829050" y="2200275"/>
          <a:ext cx="2228850" cy="609600"/>
        </a:xfrm>
        <a:prstGeom prst="horizontalScroll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17</xdr:row>
      <xdr:rowOff>57150</xdr:rowOff>
    </xdr:from>
    <xdr:to>
      <xdr:col>5</xdr:col>
      <xdr:colOff>609600</xdr:colOff>
      <xdr:row>18</xdr:row>
      <xdr:rowOff>0</xdr:rowOff>
    </xdr:to>
    <xdr:sp>
      <xdr:nvSpPr>
        <xdr:cNvPr id="6" name="Flèche gauche 4"/>
        <xdr:cNvSpPr>
          <a:spLocks/>
        </xdr:cNvSpPr>
      </xdr:nvSpPr>
      <xdr:spPr>
        <a:xfrm>
          <a:off x="3171825" y="2876550"/>
          <a:ext cx="485775" cy="104775"/>
        </a:xfrm>
        <a:prstGeom prst="leftArrow">
          <a:avLst>
            <a:gd name="adj" fmla="val -392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41"/>
  <sheetViews>
    <sheetView showGridLines="0" tabSelected="1" zoomScalePageLayoutView="0" workbookViewId="0" topLeftCell="A1">
      <selection activeCell="E16" sqref="E16"/>
    </sheetView>
  </sheetViews>
  <sheetFormatPr defaultColWidth="11.421875" defaultRowHeight="12.75"/>
  <cols>
    <col min="1" max="3" width="11.421875" style="1" customWidth="1"/>
    <col min="4" max="4" width="0" style="1" hidden="1" customWidth="1"/>
    <col min="5" max="10" width="11.421875" style="1" customWidth="1"/>
    <col min="11" max="11" width="0" style="1" hidden="1" customWidth="1"/>
    <col min="12" max="16384" width="11.421875" style="1" customWidth="1"/>
  </cols>
  <sheetData>
    <row r="1" spans="1:15" ht="15" customHeight="1">
      <c r="A1" s="71" t="s">
        <v>8</v>
      </c>
      <c r="B1" s="72"/>
      <c r="C1" s="72"/>
      <c r="D1" s="72"/>
      <c r="E1" s="72"/>
      <c r="F1" s="73"/>
      <c r="G1" s="45"/>
      <c r="H1" s="71" t="s">
        <v>28</v>
      </c>
      <c r="I1" s="72"/>
      <c r="J1" s="72"/>
      <c r="K1" s="72"/>
      <c r="L1" s="72"/>
      <c r="M1" s="73"/>
      <c r="N1" s="45"/>
      <c r="O1" s="45"/>
    </row>
    <row r="2" spans="1:15" ht="12.75">
      <c r="A2" s="74"/>
      <c r="B2" s="75"/>
      <c r="C2" s="75"/>
      <c r="D2" s="75"/>
      <c r="E2" s="75"/>
      <c r="F2" s="76"/>
      <c r="G2" s="45"/>
      <c r="H2" s="74"/>
      <c r="I2" s="75"/>
      <c r="J2" s="75"/>
      <c r="K2" s="75"/>
      <c r="L2" s="75"/>
      <c r="M2" s="76"/>
      <c r="N2" s="45"/>
      <c r="O2" s="45"/>
    </row>
    <row r="3" spans="1:15" ht="12.75">
      <c r="A3" s="38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40" t="s">
        <v>9</v>
      </c>
      <c r="G3" s="45"/>
      <c r="H3" s="38" t="s">
        <v>0</v>
      </c>
      <c r="I3" s="39" t="s">
        <v>1</v>
      </c>
      <c r="J3" s="39" t="s">
        <v>2</v>
      </c>
      <c r="K3" s="39" t="s">
        <v>3</v>
      </c>
      <c r="L3" s="39" t="s">
        <v>4</v>
      </c>
      <c r="M3" s="40" t="s">
        <v>9</v>
      </c>
      <c r="N3" s="45"/>
      <c r="O3" s="46" t="s">
        <v>23</v>
      </c>
    </row>
    <row r="4" spans="1:15" ht="12.75">
      <c r="A4" s="7">
        <v>1</v>
      </c>
      <c r="B4" s="4">
        <v>454</v>
      </c>
      <c r="C4" s="9">
        <f aca="true" t="shared" si="0" ref="C4:C10">B4*$E$13</f>
        <v>2091.6915</v>
      </c>
      <c r="D4" s="4">
        <v>0.952224734</v>
      </c>
      <c r="E4" s="9">
        <f>C4*D4</f>
        <v>1991.7603821975608</v>
      </c>
      <c r="F4" s="8">
        <v>2</v>
      </c>
      <c r="G4" s="45"/>
      <c r="H4" s="7">
        <v>1</v>
      </c>
      <c r="I4" s="4">
        <v>525</v>
      </c>
      <c r="J4" s="9">
        <f aca="true" t="shared" si="1" ref="J4:J10">I4*$E$13</f>
        <v>2418.8062499999996</v>
      </c>
      <c r="K4" s="4">
        <v>0.952224734</v>
      </c>
      <c r="L4" s="9">
        <f>J4*K4</f>
        <v>2303.247138003787</v>
      </c>
      <c r="M4" s="8">
        <v>1</v>
      </c>
      <c r="N4" s="45"/>
      <c r="O4" s="47">
        <f>L4-E4</f>
        <v>311.48675580622603</v>
      </c>
    </row>
    <row r="5" spans="1:15" ht="12.75">
      <c r="A5" s="7">
        <v>2</v>
      </c>
      <c r="B5" s="4">
        <v>482</v>
      </c>
      <c r="C5" s="9">
        <f t="shared" si="0"/>
        <v>2220.6944999999996</v>
      </c>
      <c r="D5" s="4">
        <v>0.952224734</v>
      </c>
      <c r="E5" s="9">
        <f aca="true" t="shared" si="2" ref="E5:E10">C5*D5</f>
        <v>2114.6002295577628</v>
      </c>
      <c r="F5" s="8">
        <v>2</v>
      </c>
      <c r="G5" s="45"/>
      <c r="H5" s="7">
        <v>2</v>
      </c>
      <c r="I5" s="4">
        <v>535</v>
      </c>
      <c r="J5" s="9">
        <f t="shared" si="1"/>
        <v>2464.87875</v>
      </c>
      <c r="K5" s="4">
        <v>0.952224734</v>
      </c>
      <c r="L5" s="9">
        <f aca="true" t="shared" si="3" ref="L5:L10">J5*K5</f>
        <v>2347.118512061002</v>
      </c>
      <c r="M5" s="8">
        <v>2</v>
      </c>
      <c r="N5" s="45"/>
      <c r="O5" s="47">
        <f aca="true" t="shared" si="4" ref="O5:O10">L5-E5</f>
        <v>232.51828250323933</v>
      </c>
    </row>
    <row r="6" spans="1:15" ht="12.75">
      <c r="A6" s="7">
        <v>3</v>
      </c>
      <c r="B6" s="4">
        <v>501</v>
      </c>
      <c r="C6" s="9">
        <f t="shared" si="0"/>
        <v>2308.23225</v>
      </c>
      <c r="D6" s="4">
        <v>0.952224734</v>
      </c>
      <c r="E6" s="9">
        <f t="shared" si="2"/>
        <v>2197.9558402664716</v>
      </c>
      <c r="F6" s="8">
        <v>2</v>
      </c>
      <c r="G6" s="45"/>
      <c r="H6" s="7">
        <v>3</v>
      </c>
      <c r="I6" s="4">
        <v>551</v>
      </c>
      <c r="J6" s="9">
        <f t="shared" si="1"/>
        <v>2538.5947499999997</v>
      </c>
      <c r="K6" s="4">
        <v>0.952224734</v>
      </c>
      <c r="L6" s="9">
        <f t="shared" si="3"/>
        <v>2417.3127105525464</v>
      </c>
      <c r="M6" s="8">
        <v>3</v>
      </c>
      <c r="N6" s="45"/>
      <c r="O6" s="47">
        <f t="shared" si="4"/>
        <v>219.3568702860748</v>
      </c>
    </row>
    <row r="7" spans="1:15" ht="12.75">
      <c r="A7" s="7">
        <v>4</v>
      </c>
      <c r="B7" s="4">
        <v>524</v>
      </c>
      <c r="C7" s="9">
        <f t="shared" si="0"/>
        <v>2414.1989999999996</v>
      </c>
      <c r="D7" s="4">
        <v>0.952224734</v>
      </c>
      <c r="E7" s="9">
        <f t="shared" si="2"/>
        <v>2298.8600005980657</v>
      </c>
      <c r="F7" s="8">
        <v>3</v>
      </c>
      <c r="G7" s="45"/>
      <c r="H7" s="7">
        <v>4</v>
      </c>
      <c r="I7" s="4">
        <v>574</v>
      </c>
      <c r="J7" s="9">
        <f t="shared" si="1"/>
        <v>2644.5615</v>
      </c>
      <c r="K7" s="4">
        <v>0.952224734</v>
      </c>
      <c r="L7" s="9">
        <f t="shared" si="3"/>
        <v>2518.216870884141</v>
      </c>
      <c r="M7" s="8">
        <v>4</v>
      </c>
      <c r="N7" s="45"/>
      <c r="O7" s="47">
        <f t="shared" si="4"/>
        <v>219.35687028607526</v>
      </c>
    </row>
    <row r="8" spans="1:15" ht="12.75">
      <c r="A8" s="7">
        <v>5</v>
      </c>
      <c r="B8" s="4">
        <v>544</v>
      </c>
      <c r="C8" s="9">
        <f t="shared" si="0"/>
        <v>2506.3439999999996</v>
      </c>
      <c r="D8" s="4">
        <v>0.952224734</v>
      </c>
      <c r="E8" s="9">
        <f t="shared" si="2"/>
        <v>2386.6027487124957</v>
      </c>
      <c r="F8" s="8">
        <v>3</v>
      </c>
      <c r="G8" s="45"/>
      <c r="H8" s="7">
        <v>5</v>
      </c>
      <c r="I8" s="4">
        <v>595</v>
      </c>
      <c r="J8" s="9">
        <f t="shared" si="1"/>
        <v>2741.31375</v>
      </c>
      <c r="K8" s="4">
        <v>0.952224734</v>
      </c>
      <c r="L8" s="9">
        <f t="shared" si="3"/>
        <v>2610.346756404292</v>
      </c>
      <c r="M8" s="8">
        <v>4</v>
      </c>
      <c r="N8" s="45"/>
      <c r="O8" s="47">
        <f t="shared" si="4"/>
        <v>223.74400769179647</v>
      </c>
    </row>
    <row r="9" spans="1:15" ht="12.75">
      <c r="A9" s="7">
        <v>6</v>
      </c>
      <c r="B9" s="4">
        <v>566</v>
      </c>
      <c r="C9" s="9">
        <f t="shared" si="0"/>
        <v>2607.7034999999996</v>
      </c>
      <c r="D9" s="4">
        <v>0.952224734</v>
      </c>
      <c r="E9" s="9">
        <f t="shared" si="2"/>
        <v>2483.1197716383685</v>
      </c>
      <c r="F9" s="8">
        <v>3.5</v>
      </c>
      <c r="G9" s="45"/>
      <c r="H9" s="7">
        <v>6</v>
      </c>
      <c r="I9" s="4">
        <v>616</v>
      </c>
      <c r="J9" s="9">
        <f t="shared" si="1"/>
        <v>2838.066</v>
      </c>
      <c r="K9" s="4">
        <v>0.952224734</v>
      </c>
      <c r="L9" s="9">
        <f t="shared" si="3"/>
        <v>2702.476641924444</v>
      </c>
      <c r="M9" s="8">
        <v>4</v>
      </c>
      <c r="N9" s="45"/>
      <c r="O9" s="47">
        <f t="shared" si="4"/>
        <v>219.35687028607526</v>
      </c>
    </row>
    <row r="10" spans="1:15" ht="12.75">
      <c r="A10" s="7">
        <v>7</v>
      </c>
      <c r="B10" s="10">
        <v>604</v>
      </c>
      <c r="C10" s="9">
        <f t="shared" si="0"/>
        <v>2782.779</v>
      </c>
      <c r="D10" s="4">
        <v>0.952224734</v>
      </c>
      <c r="E10" s="11">
        <f t="shared" si="2"/>
        <v>2649.8309930557857</v>
      </c>
      <c r="F10" s="6"/>
      <c r="G10" s="45"/>
      <c r="H10" s="7">
        <v>7</v>
      </c>
      <c r="I10" s="10">
        <v>642</v>
      </c>
      <c r="J10" s="9">
        <f t="shared" si="1"/>
        <v>2957.8545</v>
      </c>
      <c r="K10" s="4">
        <v>0.952224734</v>
      </c>
      <c r="L10" s="11">
        <f t="shared" si="3"/>
        <v>2816.542214473203</v>
      </c>
      <c r="M10" s="6"/>
      <c r="N10" s="45"/>
      <c r="O10" s="47">
        <f t="shared" si="4"/>
        <v>166.71122141741716</v>
      </c>
    </row>
    <row r="11" spans="1:15" ht="13.5" thickBot="1">
      <c r="A11" s="12"/>
      <c r="B11" s="5"/>
      <c r="C11" s="5"/>
      <c r="D11" s="5"/>
      <c r="E11" s="5"/>
      <c r="F11" s="13">
        <f>SUM(F4:F10)</f>
        <v>15.5</v>
      </c>
      <c r="G11" s="45"/>
      <c r="H11" s="12"/>
      <c r="I11" s="5"/>
      <c r="J11" s="5"/>
      <c r="K11" s="5"/>
      <c r="L11" s="5"/>
      <c r="M11" s="13">
        <f>SUM(M4:M10)</f>
        <v>18</v>
      </c>
      <c r="N11" s="45"/>
      <c r="O11" s="45"/>
    </row>
    <row r="12" spans="1:15" ht="13.5" thickBo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5" ht="13.5" thickBot="1">
      <c r="A13" s="78" t="s">
        <v>10</v>
      </c>
      <c r="B13" s="72"/>
      <c r="C13" s="72"/>
      <c r="D13" s="2"/>
      <c r="E13" s="3">
        <v>4.60725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2.75">
      <c r="A14" s="74" t="s">
        <v>11</v>
      </c>
      <c r="B14" s="75"/>
      <c r="C14" s="75"/>
      <c r="D14" s="4"/>
      <c r="E14" s="57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12.75">
      <c r="A15" s="74" t="s">
        <v>12</v>
      </c>
      <c r="B15" s="75"/>
      <c r="C15" s="75"/>
      <c r="D15" s="4"/>
      <c r="E15" s="58"/>
      <c r="F15" s="45"/>
      <c r="G15" s="81" t="s">
        <v>31</v>
      </c>
      <c r="H15" s="82"/>
      <c r="I15" s="82"/>
      <c r="J15" s="45"/>
      <c r="K15" s="45"/>
      <c r="L15" s="45"/>
      <c r="M15" s="45"/>
      <c r="N15" s="45"/>
      <c r="O15" s="45"/>
    </row>
    <row r="16" spans="1:15" ht="12.75">
      <c r="A16" s="74" t="s">
        <v>17</v>
      </c>
      <c r="B16" s="75"/>
      <c r="C16" s="75"/>
      <c r="D16" s="4"/>
      <c r="E16" s="58"/>
      <c r="F16" s="45"/>
      <c r="G16" s="82"/>
      <c r="H16" s="82"/>
      <c r="I16" s="82"/>
      <c r="J16" s="45"/>
      <c r="K16" s="45"/>
      <c r="L16" s="45"/>
      <c r="M16" s="45"/>
      <c r="N16" s="45"/>
      <c r="O16" s="45"/>
    </row>
    <row r="17" spans="1:15" ht="12.75">
      <c r="A17" s="74" t="s">
        <v>16</v>
      </c>
      <c r="B17" s="75"/>
      <c r="C17" s="75"/>
      <c r="D17" s="4"/>
      <c r="E17" s="58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2.75">
      <c r="A18" s="74" t="s">
        <v>35</v>
      </c>
      <c r="B18" s="75"/>
      <c r="C18" s="75"/>
      <c r="D18" s="4"/>
      <c r="E18" s="58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1:15" ht="13.5" thickBot="1">
      <c r="A19" s="79" t="s">
        <v>30</v>
      </c>
      <c r="B19" s="80"/>
      <c r="C19" s="80"/>
      <c r="D19" s="5"/>
      <c r="E19" s="59">
        <v>41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13.5" thickBot="1">
      <c r="A20" s="45"/>
      <c r="B20" s="77" t="s">
        <v>8</v>
      </c>
      <c r="C20" s="77"/>
      <c r="D20" s="77"/>
      <c r="E20" s="77"/>
      <c r="F20" s="77"/>
      <c r="G20" s="77"/>
      <c r="H20" s="77"/>
      <c r="I20" s="77" t="s">
        <v>28</v>
      </c>
      <c r="J20" s="77"/>
      <c r="K20" s="77"/>
      <c r="L20" s="77"/>
      <c r="M20" s="77"/>
      <c r="N20" s="77"/>
      <c r="O20" s="77"/>
    </row>
    <row r="21" spans="1:15" ht="15" customHeight="1">
      <c r="A21" s="18" t="s">
        <v>13</v>
      </c>
      <c r="B21" s="41" t="s">
        <v>14</v>
      </c>
      <c r="C21" s="42" t="s">
        <v>15</v>
      </c>
      <c r="D21" s="42"/>
      <c r="E21" s="43" t="s">
        <v>20</v>
      </c>
      <c r="F21" s="43" t="s">
        <v>19</v>
      </c>
      <c r="G21" s="43" t="s">
        <v>21</v>
      </c>
      <c r="H21" s="44" t="s">
        <v>19</v>
      </c>
      <c r="I21" s="41" t="str">
        <f>B21</f>
        <v>Age</v>
      </c>
      <c r="J21" s="42" t="str">
        <f>C21</f>
        <v>Ancienneté</v>
      </c>
      <c r="K21" s="42"/>
      <c r="L21" s="43" t="s">
        <v>20</v>
      </c>
      <c r="M21" s="43" t="s">
        <v>19</v>
      </c>
      <c r="N21" s="43" t="s">
        <v>21</v>
      </c>
      <c r="O21" s="44" t="s">
        <v>19</v>
      </c>
    </row>
    <row r="22" spans="1:15" ht="12.75">
      <c r="A22" s="19">
        <f>E15</f>
        <v>0</v>
      </c>
      <c r="B22" s="32">
        <f>E15-$E$14</f>
        <v>0</v>
      </c>
      <c r="C22" s="4">
        <f>A22-$E$15+$E$16+$E$17+$E$18</f>
        <v>0</v>
      </c>
      <c r="D22" s="14"/>
      <c r="E22" s="4"/>
      <c r="F22" s="14"/>
      <c r="G22" s="14"/>
      <c r="H22" s="6"/>
      <c r="I22" s="32">
        <f aca="true" t="shared" si="5" ref="I22:I35">B22</f>
        <v>0</v>
      </c>
      <c r="J22" s="4">
        <f aca="true" t="shared" si="6" ref="J22:J35">A22-$E$15+$E$16+$E$17+$E$18</f>
        <v>0</v>
      </c>
      <c r="K22" s="14"/>
      <c r="L22" s="14"/>
      <c r="M22" s="14"/>
      <c r="N22" s="14"/>
      <c r="O22" s="6"/>
    </row>
    <row r="23" spans="1:15" ht="12.75">
      <c r="A23" s="19">
        <f>A22+10</f>
        <v>10</v>
      </c>
      <c r="B23" s="32">
        <f aca="true" t="shared" si="7" ref="B23:B35">A23-$E$14</f>
        <v>10</v>
      </c>
      <c r="C23" s="4">
        <f>A23-$E$15+$E$16+$E$17+$E$18+1</f>
        <v>11</v>
      </c>
      <c r="D23" s="14"/>
      <c r="E23" s="4"/>
      <c r="F23" s="14"/>
      <c r="G23" s="14"/>
      <c r="H23" s="6"/>
      <c r="I23" s="32">
        <f t="shared" si="5"/>
        <v>10</v>
      </c>
      <c r="J23" s="4">
        <f t="shared" si="6"/>
        <v>10</v>
      </c>
      <c r="K23" s="14"/>
      <c r="L23" s="14"/>
      <c r="M23" s="14"/>
      <c r="N23" s="14"/>
      <c r="O23" s="6"/>
    </row>
    <row r="24" spans="1:15" ht="12.75">
      <c r="A24" s="19">
        <f>A22+20</f>
        <v>20</v>
      </c>
      <c r="B24" s="32">
        <f t="shared" si="7"/>
        <v>20</v>
      </c>
      <c r="C24" s="4">
        <f>A24-$E$15+$E$16+$E$17+$E$18+2</f>
        <v>22</v>
      </c>
      <c r="D24" s="14"/>
      <c r="E24" s="15">
        <f aca="true" t="shared" si="8" ref="E24:E31">IF(C24&gt;$E$19,"0",($E$19-C24)*0.08)</f>
        <v>1.52</v>
      </c>
      <c r="F24" s="31">
        <f>IF(E24="0","0",($E$10*0.75)*(1-E24))</f>
        <v>-1033.4340872917564</v>
      </c>
      <c r="G24" s="15" t="str">
        <f aca="true" t="shared" si="9" ref="G24:G29">IF(C24&lt;$E$19,"0",(C24-$E$19)*0.02)</f>
        <v>0</v>
      </c>
      <c r="H24" s="36" t="str">
        <f>IF(G24="0","0",($E$10*0.75)*(1+G24))</f>
        <v>0</v>
      </c>
      <c r="I24" s="32">
        <f t="shared" si="5"/>
        <v>20</v>
      </c>
      <c r="J24" s="4">
        <f t="shared" si="6"/>
        <v>20</v>
      </c>
      <c r="K24" s="14"/>
      <c r="L24" s="15">
        <f>IF(J24&gt;$E$19,"0",($E$19-J24)*0.08)</f>
        <v>1.68</v>
      </c>
      <c r="M24" s="31">
        <f>IF(L24="0","0",($L$10*0.66)*(1-L24))</f>
        <v>-1264.0641458555733</v>
      </c>
      <c r="N24" s="15" t="str">
        <f aca="true" t="shared" si="10" ref="N24:N35">IF(J24&lt;$E$19,"0",(J24-$E$19)*0.02)</f>
        <v>0</v>
      </c>
      <c r="O24" s="30" t="str">
        <f>IF(N24="0","0",($L$10*0.66)*(1+N24))</f>
        <v>0</v>
      </c>
    </row>
    <row r="25" spans="1:15" ht="12.75">
      <c r="A25" s="19">
        <f>A22+30</f>
        <v>30</v>
      </c>
      <c r="B25" s="32">
        <f t="shared" si="7"/>
        <v>30</v>
      </c>
      <c r="C25" s="4">
        <f>A25-$E$15+$E$16+$E$17+$E$18+3</f>
        <v>33</v>
      </c>
      <c r="D25" s="14"/>
      <c r="E25" s="15">
        <f t="shared" si="8"/>
        <v>0.64</v>
      </c>
      <c r="F25" s="31">
        <f aca="true" t="shared" si="11" ref="F25:F35">IF(E25="0","0",($E$10*0.75)*(1-E25))</f>
        <v>715.454368125062</v>
      </c>
      <c r="G25" s="15" t="str">
        <f t="shared" si="9"/>
        <v>0</v>
      </c>
      <c r="H25" s="36" t="str">
        <f aca="true" t="shared" si="12" ref="H25:H35">IF(G25="0","0",($E$10*0.75)*(1+G25))</f>
        <v>0</v>
      </c>
      <c r="I25" s="32">
        <f t="shared" si="5"/>
        <v>30</v>
      </c>
      <c r="J25" s="4">
        <f t="shared" si="6"/>
        <v>30</v>
      </c>
      <c r="K25" s="14"/>
      <c r="L25" s="15">
        <f aca="true" t="shared" si="13" ref="L25:L35">IF(J25&gt;$E$19,"0",($E$19-J25)*0.08)</f>
        <v>0.88</v>
      </c>
      <c r="M25" s="31">
        <f aca="true" t="shared" si="14" ref="M25:M35">IF(L25="0","0",($L$10*0.66)*(1-L25))</f>
        <v>223.07014338627766</v>
      </c>
      <c r="N25" s="15" t="str">
        <f t="shared" si="10"/>
        <v>0</v>
      </c>
      <c r="O25" s="30" t="str">
        <f aca="true" t="shared" si="15" ref="O25:O35">IF(N25="0","0",($L$10*0.66)*(1+N25))</f>
        <v>0</v>
      </c>
    </row>
    <row r="26" spans="1:15" ht="12.75">
      <c r="A26" s="19">
        <f>A22+31</f>
        <v>31</v>
      </c>
      <c r="B26" s="32">
        <f t="shared" si="7"/>
        <v>31</v>
      </c>
      <c r="C26" s="4">
        <f>A26-$E$15+$E$16+$E$17+$E$18+3.1</f>
        <v>34.1</v>
      </c>
      <c r="D26" s="14"/>
      <c r="E26" s="15">
        <f t="shared" si="8"/>
        <v>0.5519999999999999</v>
      </c>
      <c r="F26" s="31">
        <f t="shared" si="11"/>
        <v>890.3432136667441</v>
      </c>
      <c r="G26" s="15" t="str">
        <f t="shared" si="9"/>
        <v>0</v>
      </c>
      <c r="H26" s="36" t="str">
        <f t="shared" si="12"/>
        <v>0</v>
      </c>
      <c r="I26" s="32">
        <f t="shared" si="5"/>
        <v>31</v>
      </c>
      <c r="J26" s="4">
        <f t="shared" si="6"/>
        <v>31</v>
      </c>
      <c r="K26" s="14"/>
      <c r="L26" s="15">
        <f t="shared" si="13"/>
        <v>0.8</v>
      </c>
      <c r="M26" s="31">
        <f t="shared" si="14"/>
        <v>371.7835723104627</v>
      </c>
      <c r="N26" s="15" t="str">
        <f t="shared" si="10"/>
        <v>0</v>
      </c>
      <c r="O26" s="30" t="str">
        <f t="shared" si="15"/>
        <v>0</v>
      </c>
    </row>
    <row r="27" spans="1:15" ht="12.75">
      <c r="A27" s="19">
        <f>A22+32</f>
        <v>32</v>
      </c>
      <c r="B27" s="32">
        <f t="shared" si="7"/>
        <v>32</v>
      </c>
      <c r="C27" s="4">
        <f>A27-$E$15+$E$16+$E$17+$E$18+3.2</f>
        <v>35.2</v>
      </c>
      <c r="D27" s="14"/>
      <c r="E27" s="15">
        <f t="shared" si="8"/>
        <v>0.4639999999999998</v>
      </c>
      <c r="F27" s="31">
        <f t="shared" si="11"/>
        <v>1065.2320592084263</v>
      </c>
      <c r="G27" s="15" t="str">
        <f t="shared" si="9"/>
        <v>0</v>
      </c>
      <c r="H27" s="36" t="str">
        <f t="shared" si="12"/>
        <v>0</v>
      </c>
      <c r="I27" s="32">
        <f t="shared" si="5"/>
        <v>32</v>
      </c>
      <c r="J27" s="4">
        <f t="shared" si="6"/>
        <v>32</v>
      </c>
      <c r="K27" s="14"/>
      <c r="L27" s="15">
        <f t="shared" si="13"/>
        <v>0.72</v>
      </c>
      <c r="M27" s="31">
        <f t="shared" si="14"/>
        <v>520.497001234648</v>
      </c>
      <c r="N27" s="15" t="str">
        <f t="shared" si="10"/>
        <v>0</v>
      </c>
      <c r="O27" s="30" t="str">
        <f t="shared" si="15"/>
        <v>0</v>
      </c>
    </row>
    <row r="28" spans="1:15" ht="12.75">
      <c r="A28" s="19">
        <f>A22+33</f>
        <v>33</v>
      </c>
      <c r="B28" s="32">
        <f t="shared" si="7"/>
        <v>33</v>
      </c>
      <c r="C28" s="4">
        <f>A28-$E$15+$E$16+$E$17+$E$18+3.3</f>
        <v>36.3</v>
      </c>
      <c r="D28" s="14"/>
      <c r="E28" s="15">
        <f t="shared" si="8"/>
        <v>0.3760000000000002</v>
      </c>
      <c r="F28" s="31">
        <f t="shared" si="11"/>
        <v>1240.1209047501072</v>
      </c>
      <c r="G28" s="15" t="str">
        <f t="shared" si="9"/>
        <v>0</v>
      </c>
      <c r="H28" s="36" t="str">
        <f t="shared" si="12"/>
        <v>0</v>
      </c>
      <c r="I28" s="32">
        <f t="shared" si="5"/>
        <v>33</v>
      </c>
      <c r="J28" s="4">
        <f t="shared" si="6"/>
        <v>33</v>
      </c>
      <c r="K28" s="14"/>
      <c r="L28" s="15">
        <f t="shared" si="13"/>
        <v>0.64</v>
      </c>
      <c r="M28" s="31">
        <f t="shared" si="14"/>
        <v>669.210430158833</v>
      </c>
      <c r="N28" s="15" t="str">
        <f t="shared" si="10"/>
        <v>0</v>
      </c>
      <c r="O28" s="30" t="str">
        <f t="shared" si="15"/>
        <v>0</v>
      </c>
    </row>
    <row r="29" spans="1:15" ht="12.75">
      <c r="A29" s="19">
        <f>A22+34</f>
        <v>34</v>
      </c>
      <c r="B29" s="32">
        <f t="shared" si="7"/>
        <v>34</v>
      </c>
      <c r="C29" s="4">
        <f>A29-$E$15+$E$16+$E$17+$E$18+3.4</f>
        <v>37.4</v>
      </c>
      <c r="D29" s="14"/>
      <c r="E29" s="15">
        <f t="shared" si="8"/>
        <v>0.28800000000000014</v>
      </c>
      <c r="F29" s="31">
        <f t="shared" si="11"/>
        <v>1415.0097502917893</v>
      </c>
      <c r="G29" s="15" t="str">
        <f t="shared" si="9"/>
        <v>0</v>
      </c>
      <c r="H29" s="36" t="str">
        <f t="shared" si="12"/>
        <v>0</v>
      </c>
      <c r="I29" s="32">
        <f t="shared" si="5"/>
        <v>34</v>
      </c>
      <c r="J29" s="4">
        <f t="shared" si="6"/>
        <v>34</v>
      </c>
      <c r="K29" s="14"/>
      <c r="L29" s="15">
        <f t="shared" si="13"/>
        <v>0.56</v>
      </c>
      <c r="M29" s="31">
        <f t="shared" si="14"/>
        <v>817.9238590830181</v>
      </c>
      <c r="N29" s="15" t="str">
        <f t="shared" si="10"/>
        <v>0</v>
      </c>
      <c r="O29" s="30" t="str">
        <f t="shared" si="15"/>
        <v>0</v>
      </c>
    </row>
    <row r="30" spans="1:15" ht="12.75">
      <c r="A30" s="19">
        <f>A22+35</f>
        <v>35</v>
      </c>
      <c r="B30" s="32">
        <f t="shared" si="7"/>
        <v>35</v>
      </c>
      <c r="C30" s="4">
        <f>A30-$E$15+$E$16+$E$17+$E$18+3.5</f>
        <v>38.5</v>
      </c>
      <c r="D30" s="14"/>
      <c r="E30" s="15">
        <f t="shared" si="8"/>
        <v>0.2</v>
      </c>
      <c r="F30" s="31">
        <f t="shared" si="11"/>
        <v>1589.8985958334715</v>
      </c>
      <c r="G30" s="15" t="str">
        <f aca="true" t="shared" si="16" ref="G30:G35">IF(C30&lt;$E$19,"0",(C30-$E$19)*0.02)</f>
        <v>0</v>
      </c>
      <c r="H30" s="36" t="str">
        <f t="shared" si="12"/>
        <v>0</v>
      </c>
      <c r="I30" s="32">
        <f t="shared" si="5"/>
        <v>35</v>
      </c>
      <c r="J30" s="4">
        <f t="shared" si="6"/>
        <v>35</v>
      </c>
      <c r="K30" s="14"/>
      <c r="L30" s="15">
        <f t="shared" si="13"/>
        <v>0.48</v>
      </c>
      <c r="M30" s="31">
        <f t="shared" si="14"/>
        <v>966.6372880072033</v>
      </c>
      <c r="N30" s="15" t="str">
        <f t="shared" si="10"/>
        <v>0</v>
      </c>
      <c r="O30" s="30" t="str">
        <f t="shared" si="15"/>
        <v>0</v>
      </c>
    </row>
    <row r="31" spans="1:15" ht="12.75">
      <c r="A31" s="19">
        <f>A22+36</f>
        <v>36</v>
      </c>
      <c r="B31" s="32">
        <f t="shared" si="7"/>
        <v>36</v>
      </c>
      <c r="C31" s="4">
        <f>A31-$E$15+$E$16+$E$17+$E$18+3.6</f>
        <v>39.6</v>
      </c>
      <c r="D31" s="14"/>
      <c r="E31" s="15">
        <f t="shared" si="8"/>
        <v>0.11199999999999989</v>
      </c>
      <c r="F31" s="31">
        <f t="shared" si="11"/>
        <v>1764.7874413751533</v>
      </c>
      <c r="G31" s="15" t="str">
        <f t="shared" si="16"/>
        <v>0</v>
      </c>
      <c r="H31" s="36" t="str">
        <f t="shared" si="12"/>
        <v>0</v>
      </c>
      <c r="I31" s="32">
        <f t="shared" si="5"/>
        <v>36</v>
      </c>
      <c r="J31" s="4">
        <f t="shared" si="6"/>
        <v>36</v>
      </c>
      <c r="K31" s="14"/>
      <c r="L31" s="15">
        <f t="shared" si="13"/>
        <v>0.4</v>
      </c>
      <c r="M31" s="31">
        <f t="shared" si="14"/>
        <v>1115.3507169313884</v>
      </c>
      <c r="N31" s="15" t="str">
        <f t="shared" si="10"/>
        <v>0</v>
      </c>
      <c r="O31" s="30" t="str">
        <f t="shared" si="15"/>
        <v>0</v>
      </c>
    </row>
    <row r="32" spans="1:15" ht="12.75">
      <c r="A32" s="19">
        <f>A22+37</f>
        <v>37</v>
      </c>
      <c r="B32" s="32">
        <f t="shared" si="7"/>
        <v>37</v>
      </c>
      <c r="C32" s="4">
        <f>A32-$E$15+$E$16+$E$17+$E$18+3.7</f>
        <v>40.7</v>
      </c>
      <c r="D32" s="14"/>
      <c r="E32" s="15">
        <f>IF(C32&gt;$E$19,"0",($E$19-C32)*0.08)</f>
        <v>0.02399999999999977</v>
      </c>
      <c r="F32" s="31">
        <f t="shared" si="11"/>
        <v>1939.6762869168354</v>
      </c>
      <c r="G32" s="15" t="str">
        <f t="shared" si="16"/>
        <v>0</v>
      </c>
      <c r="H32" s="36" t="str">
        <f t="shared" si="12"/>
        <v>0</v>
      </c>
      <c r="I32" s="32">
        <f t="shared" si="5"/>
        <v>37</v>
      </c>
      <c r="J32" s="4">
        <f t="shared" si="6"/>
        <v>37</v>
      </c>
      <c r="K32" s="14"/>
      <c r="L32" s="15">
        <f t="shared" si="13"/>
        <v>0.32</v>
      </c>
      <c r="M32" s="31">
        <f t="shared" si="14"/>
        <v>1264.0641458555733</v>
      </c>
      <c r="N32" s="15" t="str">
        <f t="shared" si="10"/>
        <v>0</v>
      </c>
      <c r="O32" s="30" t="str">
        <f t="shared" si="15"/>
        <v>0</v>
      </c>
    </row>
    <row r="33" spans="1:15" ht="12.75">
      <c r="A33" s="19">
        <f>A22+38</f>
        <v>38</v>
      </c>
      <c r="B33" s="32">
        <f t="shared" si="7"/>
        <v>38</v>
      </c>
      <c r="C33" s="4">
        <f>A33-$E$15+$E$16+$E$17+$E$18+3.8</f>
        <v>41.8</v>
      </c>
      <c r="D33" s="14"/>
      <c r="E33" s="15" t="str">
        <f>IF(C33&gt;$E$19,"0",($E$19-C33)*0.08)</f>
        <v>0</v>
      </c>
      <c r="F33" s="31" t="str">
        <f t="shared" si="11"/>
        <v>0</v>
      </c>
      <c r="G33" s="15">
        <f t="shared" si="16"/>
        <v>0.015999999999999945</v>
      </c>
      <c r="H33" s="30">
        <f t="shared" si="12"/>
        <v>2019.1712167085086</v>
      </c>
      <c r="I33" s="32">
        <f t="shared" si="5"/>
        <v>38</v>
      </c>
      <c r="J33" s="4">
        <f t="shared" si="6"/>
        <v>38</v>
      </c>
      <c r="K33" s="14"/>
      <c r="L33" s="15">
        <f t="shared" si="13"/>
        <v>0.24</v>
      </c>
      <c r="M33" s="31">
        <f t="shared" si="14"/>
        <v>1412.7775747797587</v>
      </c>
      <c r="N33" s="15" t="str">
        <f t="shared" si="10"/>
        <v>0</v>
      </c>
      <c r="O33" s="30" t="str">
        <f t="shared" si="15"/>
        <v>0</v>
      </c>
    </row>
    <row r="34" spans="1:15" ht="12.75">
      <c r="A34" s="19">
        <f>A22+39</f>
        <v>39</v>
      </c>
      <c r="B34" s="32">
        <f t="shared" si="7"/>
        <v>39</v>
      </c>
      <c r="C34" s="4">
        <f>A34-$E$15+$E$16+$E$17+$E$18+3.9</f>
        <v>42.9</v>
      </c>
      <c r="D34" s="14"/>
      <c r="E34" s="15" t="str">
        <f>IF(C34&gt;$E$19,"0",($E$19-C34)*0.08)</f>
        <v>0</v>
      </c>
      <c r="F34" s="31" t="str">
        <f t="shared" si="11"/>
        <v>0</v>
      </c>
      <c r="G34" s="15">
        <f t="shared" si="16"/>
        <v>0.03799999999999997</v>
      </c>
      <c r="H34" s="30">
        <f t="shared" si="12"/>
        <v>2062.8934280939293</v>
      </c>
      <c r="I34" s="32">
        <f t="shared" si="5"/>
        <v>39</v>
      </c>
      <c r="J34" s="4">
        <f t="shared" si="6"/>
        <v>39</v>
      </c>
      <c r="K34" s="14"/>
      <c r="L34" s="15">
        <f t="shared" si="13"/>
        <v>0.16</v>
      </c>
      <c r="M34" s="31">
        <f t="shared" si="14"/>
        <v>1561.4910037039438</v>
      </c>
      <c r="N34" s="15" t="str">
        <f t="shared" si="10"/>
        <v>0</v>
      </c>
      <c r="O34" s="30" t="str">
        <f t="shared" si="15"/>
        <v>0</v>
      </c>
    </row>
    <row r="35" spans="1:15" ht="13.5" thickBot="1">
      <c r="A35" s="20">
        <f>A22+40</f>
        <v>40</v>
      </c>
      <c r="B35" s="33">
        <f t="shared" si="7"/>
        <v>40</v>
      </c>
      <c r="C35" s="5">
        <f>A35-$E$15+$E$16+$E$17+$E$18+4</f>
        <v>44</v>
      </c>
      <c r="D35" s="16"/>
      <c r="E35" s="17" t="str">
        <f>IF(C35&gt;$E$19,"0",($E$19-C35)*0.08)</f>
        <v>0</v>
      </c>
      <c r="F35" s="34" t="str">
        <f t="shared" si="11"/>
        <v>0</v>
      </c>
      <c r="G35" s="17">
        <f t="shared" si="16"/>
        <v>0.06</v>
      </c>
      <c r="H35" s="35">
        <f t="shared" si="12"/>
        <v>2106.6156394793497</v>
      </c>
      <c r="I35" s="33">
        <f t="shared" si="5"/>
        <v>40</v>
      </c>
      <c r="J35" s="5">
        <f t="shared" si="6"/>
        <v>40</v>
      </c>
      <c r="K35" s="16"/>
      <c r="L35" s="17">
        <f t="shared" si="13"/>
        <v>0.08</v>
      </c>
      <c r="M35" s="34">
        <f t="shared" si="14"/>
        <v>1710.2044326281289</v>
      </c>
      <c r="N35" s="17" t="str">
        <f t="shared" si="10"/>
        <v>0</v>
      </c>
      <c r="O35" s="35" t="str">
        <f t="shared" si="15"/>
        <v>0</v>
      </c>
    </row>
    <row r="36" spans="1:15" ht="12.75">
      <c r="A36" s="48"/>
      <c r="B36" s="48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1:15" ht="12.75">
      <c r="A37" s="49" t="s">
        <v>18</v>
      </c>
      <c r="B37" s="48"/>
      <c r="C37" s="45"/>
      <c r="D37" s="45"/>
      <c r="E37" s="45"/>
      <c r="F37" s="45"/>
      <c r="G37" s="45"/>
      <c r="H37" s="45"/>
      <c r="I37" s="50" t="s">
        <v>25</v>
      </c>
      <c r="J37" s="45"/>
      <c r="K37" s="45"/>
      <c r="L37" s="45"/>
      <c r="M37" s="45"/>
      <c r="N37" s="45"/>
      <c r="O37" s="45"/>
    </row>
    <row r="38" spans="1:15" ht="12.75">
      <c r="A38" s="49" t="s">
        <v>5</v>
      </c>
      <c r="B38" s="48"/>
      <c r="C38" s="45"/>
      <c r="D38" s="45"/>
      <c r="E38" s="45"/>
      <c r="F38" s="45"/>
      <c r="G38" s="45"/>
      <c r="H38" s="45"/>
      <c r="I38" s="49" t="s">
        <v>7</v>
      </c>
      <c r="J38" s="45"/>
      <c r="K38" s="45"/>
      <c r="L38" s="45"/>
      <c r="M38" s="45"/>
      <c r="N38" s="45"/>
      <c r="O38" s="45"/>
    </row>
    <row r="39" spans="1:15" ht="12.75">
      <c r="A39" s="49" t="s">
        <v>6</v>
      </c>
      <c r="B39" s="45"/>
      <c r="C39" s="45"/>
      <c r="D39" s="45"/>
      <c r="E39" s="45"/>
      <c r="F39" s="45"/>
      <c r="G39" s="45"/>
      <c r="H39" s="45"/>
      <c r="I39" s="50" t="s">
        <v>22</v>
      </c>
      <c r="J39" s="45"/>
      <c r="K39" s="45"/>
      <c r="L39" s="45"/>
      <c r="M39" s="45"/>
      <c r="N39" s="45"/>
      <c r="O39" s="45"/>
    </row>
    <row r="40" spans="1:15" ht="12.75">
      <c r="A40" s="50" t="s">
        <v>27</v>
      </c>
      <c r="B40" s="45"/>
      <c r="C40" s="45"/>
      <c r="D40" s="45"/>
      <c r="E40" s="45"/>
      <c r="F40" s="47">
        <f>E10*0.75</f>
        <v>1987.3732447918392</v>
      </c>
      <c r="G40" s="45"/>
      <c r="H40" s="45"/>
      <c r="I40" s="50" t="s">
        <v>26</v>
      </c>
      <c r="J40" s="45"/>
      <c r="K40" s="45"/>
      <c r="L40" s="45"/>
      <c r="M40" s="45"/>
      <c r="N40" s="47">
        <f>L10*0.66</f>
        <v>1858.917861552314</v>
      </c>
      <c r="O40" s="45"/>
    </row>
    <row r="41" spans="1:15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</sheetData>
  <sheetProtection password="DDE3" sheet="1" objects="1" scenarios="1" selectLockedCells="1"/>
  <mergeCells count="12">
    <mergeCell ref="A15:C15"/>
    <mergeCell ref="G15:I16"/>
    <mergeCell ref="A1:F2"/>
    <mergeCell ref="H1:M2"/>
    <mergeCell ref="I20:O20"/>
    <mergeCell ref="B20:H20"/>
    <mergeCell ref="A14:C14"/>
    <mergeCell ref="A13:C13"/>
    <mergeCell ref="A19:C19"/>
    <mergeCell ref="A17:C17"/>
    <mergeCell ref="A16:C16"/>
    <mergeCell ref="A18:C18"/>
  </mergeCells>
  <printOptions horizontalCentered="1" verticalCentered="1"/>
  <pageMargins left="0.4330708661417323" right="0.4330708661417323" top="0.35433070866141736" bottom="0.35433070866141736" header="0" footer="0"/>
  <pageSetup fitToHeight="1" fitToWidth="1" horizontalDpi="300" verticalDpi="3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45"/>
  <sheetViews>
    <sheetView showGridLines="0" zoomScalePageLayoutView="0" workbookViewId="0" topLeftCell="A1">
      <selection activeCell="E18" sqref="E18"/>
    </sheetView>
  </sheetViews>
  <sheetFormatPr defaultColWidth="11.421875" defaultRowHeight="12.75"/>
  <cols>
    <col min="1" max="3" width="11.421875" style="1" customWidth="1"/>
    <col min="4" max="4" width="0" style="1" hidden="1" customWidth="1"/>
    <col min="5" max="10" width="11.421875" style="1" customWidth="1"/>
    <col min="11" max="11" width="11.421875" style="1" hidden="1" customWidth="1"/>
    <col min="12" max="16384" width="11.421875" style="1" customWidth="1"/>
  </cols>
  <sheetData>
    <row r="1" spans="1:15" ht="15" customHeight="1">
      <c r="A1" s="71" t="s">
        <v>24</v>
      </c>
      <c r="B1" s="72"/>
      <c r="C1" s="72"/>
      <c r="D1" s="72"/>
      <c r="E1" s="72"/>
      <c r="F1" s="73"/>
      <c r="G1" s="45"/>
      <c r="H1" s="71" t="s">
        <v>29</v>
      </c>
      <c r="I1" s="83"/>
      <c r="J1" s="83"/>
      <c r="K1" s="83"/>
      <c r="L1" s="83"/>
      <c r="M1" s="84"/>
      <c r="N1" s="45"/>
      <c r="O1" s="45"/>
    </row>
    <row r="2" spans="1:15" ht="12.75">
      <c r="A2" s="74"/>
      <c r="B2" s="75"/>
      <c r="C2" s="75"/>
      <c r="D2" s="75"/>
      <c r="E2" s="75"/>
      <c r="F2" s="76"/>
      <c r="G2" s="45"/>
      <c r="H2" s="85"/>
      <c r="I2" s="86"/>
      <c r="J2" s="86"/>
      <c r="K2" s="86"/>
      <c r="L2" s="86"/>
      <c r="M2" s="87"/>
      <c r="N2" s="45"/>
      <c r="O2" s="45"/>
    </row>
    <row r="3" spans="1:15" ht="12.75">
      <c r="A3" s="38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40" t="s">
        <v>9</v>
      </c>
      <c r="G3" s="45"/>
      <c r="H3" s="38" t="s">
        <v>0</v>
      </c>
      <c r="I3" s="39" t="s">
        <v>1</v>
      </c>
      <c r="J3" s="39" t="s">
        <v>2</v>
      </c>
      <c r="K3" s="39" t="s">
        <v>3</v>
      </c>
      <c r="L3" s="39" t="s">
        <v>4</v>
      </c>
      <c r="M3" s="40" t="s">
        <v>9</v>
      </c>
      <c r="N3" s="45"/>
      <c r="O3" s="55" t="s">
        <v>23</v>
      </c>
    </row>
    <row r="4" spans="1:15" ht="12.75">
      <c r="A4" s="7">
        <v>1</v>
      </c>
      <c r="B4" s="4">
        <v>420</v>
      </c>
      <c r="C4" s="21">
        <f aca="true" t="shared" si="0" ref="C4:C10">B4*$E$17</f>
        <v>1935.0449999999998</v>
      </c>
      <c r="D4" s="4">
        <v>0.952224734</v>
      </c>
      <c r="E4" s="21">
        <f aca="true" t="shared" si="1" ref="E4:E10">C4*D4</f>
        <v>1842.5977104030299</v>
      </c>
      <c r="F4" s="8">
        <v>2</v>
      </c>
      <c r="G4" s="45"/>
      <c r="H4" s="7">
        <v>1</v>
      </c>
      <c r="I4" s="4">
        <v>403</v>
      </c>
      <c r="J4" s="21">
        <f aca="true" t="shared" si="2" ref="J4:J14">I4*$E$17</f>
        <v>1856.72175</v>
      </c>
      <c r="K4" s="4">
        <v>0.952224734</v>
      </c>
      <c r="L4" s="21">
        <f aca="true" t="shared" si="3" ref="L4:L14">J4*K4</f>
        <v>1768.0163745057644</v>
      </c>
      <c r="M4" s="8">
        <v>1</v>
      </c>
      <c r="N4" s="45"/>
      <c r="O4" s="56">
        <f aca="true" t="shared" si="4" ref="O4:O10">L4-E4</f>
        <v>-74.58133589726549</v>
      </c>
    </row>
    <row r="5" spans="1:15" ht="12.75">
      <c r="A5" s="7">
        <v>2</v>
      </c>
      <c r="B5" s="4">
        <v>455</v>
      </c>
      <c r="C5" s="21">
        <f t="shared" si="0"/>
        <v>2096.29875</v>
      </c>
      <c r="D5" s="4">
        <v>0.952224734</v>
      </c>
      <c r="E5" s="21">
        <f t="shared" si="1"/>
        <v>1996.1475196032823</v>
      </c>
      <c r="F5" s="8">
        <v>2</v>
      </c>
      <c r="G5" s="45"/>
      <c r="H5" s="7">
        <v>2</v>
      </c>
      <c r="I5" s="4">
        <v>420</v>
      </c>
      <c r="J5" s="21">
        <f t="shared" si="2"/>
        <v>1935.0449999999998</v>
      </c>
      <c r="K5" s="4">
        <v>0.952224734</v>
      </c>
      <c r="L5" s="21">
        <f t="shared" si="3"/>
        <v>1842.5977104030299</v>
      </c>
      <c r="M5" s="8">
        <v>2</v>
      </c>
      <c r="N5" s="45"/>
      <c r="O5" s="56">
        <f t="shared" si="4"/>
        <v>-153.5498092002524</v>
      </c>
    </row>
    <row r="6" spans="1:15" ht="12.75">
      <c r="A6" s="7">
        <v>3</v>
      </c>
      <c r="B6" s="4">
        <v>474</v>
      </c>
      <c r="C6" s="21">
        <f t="shared" si="0"/>
        <v>2183.8365</v>
      </c>
      <c r="D6" s="4">
        <v>0.952224734</v>
      </c>
      <c r="E6" s="21">
        <f t="shared" si="1"/>
        <v>2079.503130311991</v>
      </c>
      <c r="F6" s="8">
        <v>2</v>
      </c>
      <c r="G6" s="45"/>
      <c r="H6" s="7">
        <v>3</v>
      </c>
      <c r="I6" s="4">
        <v>439</v>
      </c>
      <c r="J6" s="21">
        <f t="shared" si="2"/>
        <v>2022.5827499999998</v>
      </c>
      <c r="K6" s="4">
        <v>0.952224734</v>
      </c>
      <c r="L6" s="21">
        <f t="shared" si="3"/>
        <v>1925.9533211117382</v>
      </c>
      <c r="M6" s="8">
        <v>2</v>
      </c>
      <c r="N6" s="45"/>
      <c r="O6" s="56">
        <f t="shared" si="4"/>
        <v>-153.54980920025264</v>
      </c>
    </row>
    <row r="7" spans="1:15" ht="12.75">
      <c r="A7" s="7">
        <v>4</v>
      </c>
      <c r="B7" s="4">
        <v>498</v>
      </c>
      <c r="C7" s="21">
        <f t="shared" si="0"/>
        <v>2294.4105</v>
      </c>
      <c r="D7" s="4">
        <v>0.952224734</v>
      </c>
      <c r="E7" s="21">
        <f t="shared" si="1"/>
        <v>2184.794428049307</v>
      </c>
      <c r="F7" s="8">
        <v>3</v>
      </c>
      <c r="G7" s="45"/>
      <c r="H7" s="7">
        <v>4</v>
      </c>
      <c r="I7" s="4">
        <v>460</v>
      </c>
      <c r="J7" s="21">
        <f t="shared" si="2"/>
        <v>2119.335</v>
      </c>
      <c r="K7" s="4">
        <v>0.952224734</v>
      </c>
      <c r="L7" s="21">
        <f t="shared" si="3"/>
        <v>2018.0832066318899</v>
      </c>
      <c r="M7" s="8">
        <v>2</v>
      </c>
      <c r="N7" s="45"/>
      <c r="O7" s="56">
        <f t="shared" si="4"/>
        <v>-166.71122141741716</v>
      </c>
    </row>
    <row r="8" spans="1:15" ht="12.75">
      <c r="A8" s="7">
        <v>5</v>
      </c>
      <c r="B8" s="4">
        <v>518</v>
      </c>
      <c r="C8" s="21">
        <f t="shared" si="0"/>
        <v>2386.5555</v>
      </c>
      <c r="D8" s="4">
        <v>0.952224734</v>
      </c>
      <c r="E8" s="21">
        <f t="shared" si="1"/>
        <v>2272.537176163737</v>
      </c>
      <c r="F8" s="8">
        <v>3</v>
      </c>
      <c r="G8" s="45"/>
      <c r="H8" s="7">
        <v>5</v>
      </c>
      <c r="I8" s="4">
        <v>485</v>
      </c>
      <c r="J8" s="21">
        <f t="shared" si="2"/>
        <v>2234.5162499999997</v>
      </c>
      <c r="K8" s="4">
        <v>0.952224734</v>
      </c>
      <c r="L8" s="21">
        <f t="shared" si="3"/>
        <v>2127.7616417749273</v>
      </c>
      <c r="M8" s="8">
        <v>2</v>
      </c>
      <c r="N8" s="45"/>
      <c r="O8" s="56">
        <f t="shared" si="4"/>
        <v>-144.77553438880977</v>
      </c>
    </row>
    <row r="9" spans="1:15" ht="12.75">
      <c r="A9" s="7">
        <v>6</v>
      </c>
      <c r="B9" s="4">
        <v>539</v>
      </c>
      <c r="C9" s="21">
        <f t="shared" si="0"/>
        <v>2483.30775</v>
      </c>
      <c r="D9" s="4">
        <v>0.952224734</v>
      </c>
      <c r="E9" s="21">
        <f t="shared" si="1"/>
        <v>2364.6670616838883</v>
      </c>
      <c r="F9" s="8">
        <v>3.5</v>
      </c>
      <c r="G9" s="45"/>
      <c r="H9" s="7">
        <v>6</v>
      </c>
      <c r="I9" s="4">
        <v>509</v>
      </c>
      <c r="J9" s="21">
        <f t="shared" si="2"/>
        <v>2345.0902499999997</v>
      </c>
      <c r="K9" s="4">
        <v>0.952224734</v>
      </c>
      <c r="L9" s="21">
        <f t="shared" si="3"/>
        <v>2233.052939512243</v>
      </c>
      <c r="M9" s="8">
        <v>2</v>
      </c>
      <c r="N9" s="45"/>
      <c r="O9" s="56">
        <f t="shared" si="4"/>
        <v>-131.61412217164525</v>
      </c>
    </row>
    <row r="10" spans="1:15" ht="12.75">
      <c r="A10" s="7">
        <v>7</v>
      </c>
      <c r="B10" s="10">
        <v>570</v>
      </c>
      <c r="C10" s="21">
        <f t="shared" si="0"/>
        <v>2626.1324999999997</v>
      </c>
      <c r="D10" s="4">
        <v>0.952224734</v>
      </c>
      <c r="E10" s="11">
        <f t="shared" si="1"/>
        <v>2500.6683212612547</v>
      </c>
      <c r="F10" s="6"/>
      <c r="G10" s="45"/>
      <c r="H10" s="7">
        <v>7</v>
      </c>
      <c r="I10" s="4">
        <v>533</v>
      </c>
      <c r="J10" s="21">
        <f t="shared" si="2"/>
        <v>2455.66425</v>
      </c>
      <c r="K10" s="4">
        <v>0.952224734</v>
      </c>
      <c r="L10" s="21">
        <f t="shared" si="3"/>
        <v>2338.3442372495592</v>
      </c>
      <c r="M10" s="8">
        <v>3</v>
      </c>
      <c r="N10" s="45"/>
      <c r="O10" s="56">
        <f t="shared" si="4"/>
        <v>-162.3240840116955</v>
      </c>
    </row>
    <row r="11" spans="1:15" ht="13.5" thickBot="1">
      <c r="A11" s="12"/>
      <c r="B11" s="22"/>
      <c r="C11" s="23"/>
      <c r="D11" s="5"/>
      <c r="E11" s="24"/>
      <c r="F11" s="13">
        <f>SUM(F4:F10)</f>
        <v>15.5</v>
      </c>
      <c r="G11" s="45"/>
      <c r="H11" s="7">
        <v>8</v>
      </c>
      <c r="I11" s="4">
        <v>558</v>
      </c>
      <c r="J11" s="21">
        <f t="shared" si="2"/>
        <v>2570.8455</v>
      </c>
      <c r="K11" s="4">
        <v>0.952224734</v>
      </c>
      <c r="L11" s="21">
        <f t="shared" si="3"/>
        <v>2448.0226723925966</v>
      </c>
      <c r="M11" s="8">
        <v>4</v>
      </c>
      <c r="N11" s="45"/>
      <c r="O11" s="56">
        <f>L11-L10</f>
        <v>109.6784351430374</v>
      </c>
    </row>
    <row r="12" spans="1:15" ht="12.75">
      <c r="A12" s="48"/>
      <c r="B12" s="51"/>
      <c r="C12" s="52"/>
      <c r="D12" s="48"/>
      <c r="E12" s="53"/>
      <c r="F12" s="54"/>
      <c r="G12" s="45"/>
      <c r="H12" s="7">
        <v>9</v>
      </c>
      <c r="I12" s="4">
        <v>585</v>
      </c>
      <c r="J12" s="21">
        <f t="shared" si="2"/>
        <v>2695.2412499999996</v>
      </c>
      <c r="K12" s="4">
        <v>0.952224734</v>
      </c>
      <c r="L12" s="21">
        <f t="shared" si="3"/>
        <v>2566.475382347077</v>
      </c>
      <c r="M12" s="8">
        <v>4</v>
      </c>
      <c r="N12" s="45"/>
      <c r="O12" s="56">
        <f>L12-L11</f>
        <v>118.45270995448027</v>
      </c>
    </row>
    <row r="13" spans="1:15" ht="12.75">
      <c r="A13" s="48"/>
      <c r="B13" s="51"/>
      <c r="C13" s="52"/>
      <c r="D13" s="48"/>
      <c r="E13" s="53"/>
      <c r="F13" s="54"/>
      <c r="G13" s="45"/>
      <c r="H13" s="7">
        <v>10</v>
      </c>
      <c r="I13" s="4">
        <v>608</v>
      </c>
      <c r="J13" s="21">
        <f t="shared" si="2"/>
        <v>2801.2079999999996</v>
      </c>
      <c r="K13" s="4">
        <v>0.952224734</v>
      </c>
      <c r="L13" s="21">
        <f t="shared" si="3"/>
        <v>2667.3795426786714</v>
      </c>
      <c r="M13" s="8">
        <v>4</v>
      </c>
      <c r="N13" s="45"/>
      <c r="O13" s="56">
        <f>L13-L12</f>
        <v>100.90416033159454</v>
      </c>
    </row>
    <row r="14" spans="1:15" ht="12.75">
      <c r="A14" s="48"/>
      <c r="B14" s="51"/>
      <c r="C14" s="52"/>
      <c r="D14" s="48"/>
      <c r="E14" s="53"/>
      <c r="F14" s="54"/>
      <c r="G14" s="45"/>
      <c r="H14" s="7">
        <v>11</v>
      </c>
      <c r="I14" s="10">
        <v>631</v>
      </c>
      <c r="J14" s="21">
        <f t="shared" si="2"/>
        <v>2907.1747499999997</v>
      </c>
      <c r="K14" s="4">
        <v>0.952224734</v>
      </c>
      <c r="L14" s="11">
        <f t="shared" si="3"/>
        <v>2768.283703010266</v>
      </c>
      <c r="M14" s="6"/>
      <c r="N14" s="45"/>
      <c r="O14" s="56">
        <f>L14-L13</f>
        <v>100.90416033159454</v>
      </c>
    </row>
    <row r="15" spans="1:15" ht="13.5" thickBot="1">
      <c r="A15" s="48"/>
      <c r="B15" s="48"/>
      <c r="C15" s="48"/>
      <c r="D15" s="48"/>
      <c r="E15" s="48"/>
      <c r="F15" s="45"/>
      <c r="G15" s="45"/>
      <c r="H15" s="12"/>
      <c r="I15" s="5"/>
      <c r="J15" s="5"/>
      <c r="K15" s="5"/>
      <c r="L15" s="5"/>
      <c r="M15" s="13">
        <f>SUM(M4:M13)</f>
        <v>26</v>
      </c>
      <c r="N15" s="45"/>
      <c r="O15" s="45"/>
    </row>
    <row r="16" spans="1:15" ht="13.5" thickBo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13.5" thickBot="1">
      <c r="A17" s="78" t="s">
        <v>10</v>
      </c>
      <c r="B17" s="72"/>
      <c r="C17" s="72"/>
      <c r="D17" s="2"/>
      <c r="E17" s="3">
        <v>4.60725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2.75" customHeight="1">
      <c r="A18" s="74" t="s">
        <v>11</v>
      </c>
      <c r="B18" s="75"/>
      <c r="C18" s="75"/>
      <c r="D18" s="4"/>
      <c r="E18" s="57"/>
      <c r="F18" s="45"/>
      <c r="G18" s="60"/>
      <c r="H18" s="60"/>
      <c r="I18" s="60"/>
      <c r="J18" s="45"/>
      <c r="K18" s="45"/>
      <c r="L18" s="45"/>
      <c r="M18" s="45"/>
      <c r="N18" s="45"/>
      <c r="O18" s="45"/>
    </row>
    <row r="19" spans="1:15" ht="12.75" customHeight="1">
      <c r="A19" s="74" t="s">
        <v>12</v>
      </c>
      <c r="B19" s="75"/>
      <c r="C19" s="75"/>
      <c r="D19" s="4"/>
      <c r="E19" s="58"/>
      <c r="F19" s="45"/>
      <c r="G19" s="88" t="s">
        <v>31</v>
      </c>
      <c r="H19" s="88"/>
      <c r="I19" s="88"/>
      <c r="J19" s="45"/>
      <c r="K19" s="45"/>
      <c r="L19" s="45"/>
      <c r="M19" s="45"/>
      <c r="N19" s="45"/>
      <c r="O19" s="45"/>
    </row>
    <row r="20" spans="1:15" ht="12.75">
      <c r="A20" s="74" t="s">
        <v>17</v>
      </c>
      <c r="B20" s="75"/>
      <c r="C20" s="75"/>
      <c r="D20" s="4"/>
      <c r="E20" s="58"/>
      <c r="F20" s="45"/>
      <c r="G20" s="88"/>
      <c r="H20" s="88"/>
      <c r="I20" s="88"/>
      <c r="J20" s="45"/>
      <c r="K20" s="45"/>
      <c r="L20" s="45"/>
      <c r="M20" s="45"/>
      <c r="N20" s="45"/>
      <c r="O20" s="45"/>
    </row>
    <row r="21" spans="1:15" ht="12.75">
      <c r="A21" s="74" t="s">
        <v>16</v>
      </c>
      <c r="B21" s="75"/>
      <c r="C21" s="75"/>
      <c r="D21" s="4"/>
      <c r="E21" s="58"/>
      <c r="F21" s="45"/>
      <c r="G21" s="60"/>
      <c r="H21" s="60"/>
      <c r="I21" s="60"/>
      <c r="J21" s="45"/>
      <c r="K21" s="45"/>
      <c r="L21" s="45"/>
      <c r="M21" s="45"/>
      <c r="N21" s="45"/>
      <c r="O21" s="45"/>
    </row>
    <row r="22" spans="1:15" ht="12.75">
      <c r="A22" s="74" t="s">
        <v>35</v>
      </c>
      <c r="B22" s="75"/>
      <c r="C22" s="75"/>
      <c r="D22" s="4"/>
      <c r="E22" s="58"/>
      <c r="F22" s="45"/>
      <c r="G22" s="60"/>
      <c r="H22" s="60"/>
      <c r="I22" s="60"/>
      <c r="J22" s="45"/>
      <c r="K22" s="45"/>
      <c r="L22" s="45"/>
      <c r="M22" s="45"/>
      <c r="N22" s="45"/>
      <c r="O22" s="45"/>
    </row>
    <row r="23" spans="1:15" ht="13.5" thickBot="1">
      <c r="A23" s="79" t="s">
        <v>30</v>
      </c>
      <c r="B23" s="80"/>
      <c r="C23" s="80"/>
      <c r="D23" s="5"/>
      <c r="E23" s="59">
        <v>41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5" ht="13.5" thickBot="1">
      <c r="A24" s="45"/>
      <c r="B24" s="77" t="s">
        <v>24</v>
      </c>
      <c r="C24" s="77"/>
      <c r="D24" s="77"/>
      <c r="E24" s="77"/>
      <c r="F24" s="77"/>
      <c r="G24" s="77"/>
      <c r="H24" s="77"/>
      <c r="I24" s="77" t="s">
        <v>29</v>
      </c>
      <c r="J24" s="77"/>
      <c r="K24" s="77"/>
      <c r="L24" s="77"/>
      <c r="M24" s="77"/>
      <c r="N24" s="77"/>
      <c r="O24" s="77"/>
    </row>
    <row r="25" spans="1:15" ht="15" customHeight="1">
      <c r="A25" s="18" t="s">
        <v>13</v>
      </c>
      <c r="B25" s="41" t="s">
        <v>14</v>
      </c>
      <c r="C25" s="42" t="s">
        <v>15</v>
      </c>
      <c r="D25" s="42"/>
      <c r="E25" s="43" t="s">
        <v>20</v>
      </c>
      <c r="F25" s="43" t="s">
        <v>19</v>
      </c>
      <c r="G25" s="43" t="s">
        <v>21</v>
      </c>
      <c r="H25" s="44" t="s">
        <v>19</v>
      </c>
      <c r="I25" s="41" t="str">
        <f>B25</f>
        <v>Age</v>
      </c>
      <c r="J25" s="42" t="str">
        <f>C25</f>
        <v>Ancienneté</v>
      </c>
      <c r="K25" s="42"/>
      <c r="L25" s="43" t="s">
        <v>20</v>
      </c>
      <c r="M25" s="43" t="s">
        <v>19</v>
      </c>
      <c r="N25" s="43" t="s">
        <v>21</v>
      </c>
      <c r="O25" s="44" t="s">
        <v>19</v>
      </c>
    </row>
    <row r="26" spans="1:15" ht="12.75">
      <c r="A26" s="19">
        <f>E19</f>
        <v>0</v>
      </c>
      <c r="B26" s="32">
        <f>E19-$E$18</f>
        <v>0</v>
      </c>
      <c r="C26" s="4">
        <f>A26-$E$19+$E$20+$E$21+$E$22</f>
        <v>0</v>
      </c>
      <c r="D26" s="14"/>
      <c r="E26" s="4"/>
      <c r="F26" s="14"/>
      <c r="G26" s="14"/>
      <c r="H26" s="6"/>
      <c r="I26" s="32">
        <f aca="true" t="shared" si="5" ref="I26:I39">B26</f>
        <v>0</v>
      </c>
      <c r="J26" s="4">
        <f aca="true" t="shared" si="6" ref="J26:J39">A26-$E$19+$E$20+$E$21+$E$22</f>
        <v>0</v>
      </c>
      <c r="K26" s="14"/>
      <c r="L26" s="14"/>
      <c r="M26" s="14"/>
      <c r="N26" s="14"/>
      <c r="O26" s="6"/>
    </row>
    <row r="27" spans="1:15" ht="12.75">
      <c r="A27" s="19">
        <f>A26+10</f>
        <v>10</v>
      </c>
      <c r="B27" s="32">
        <f aca="true" t="shared" si="7" ref="B27:B39">A27-$E$18</f>
        <v>10</v>
      </c>
      <c r="C27" s="4">
        <f>A27-$E$19+$E$20+$E$21+$E$22+1</f>
        <v>11</v>
      </c>
      <c r="D27" s="14"/>
      <c r="E27" s="4"/>
      <c r="F27" s="14"/>
      <c r="G27" s="14"/>
      <c r="H27" s="6"/>
      <c r="I27" s="32">
        <f t="shared" si="5"/>
        <v>10</v>
      </c>
      <c r="J27" s="4">
        <f t="shared" si="6"/>
        <v>10</v>
      </c>
      <c r="K27" s="14"/>
      <c r="L27" s="14"/>
      <c r="M27" s="14"/>
      <c r="N27" s="14"/>
      <c r="O27" s="6"/>
    </row>
    <row r="28" spans="1:15" ht="12.75">
      <c r="A28" s="19">
        <f>A26+20</f>
        <v>20</v>
      </c>
      <c r="B28" s="32">
        <f t="shared" si="7"/>
        <v>20</v>
      </c>
      <c r="C28" s="4">
        <f>A28-$E$19+$E$20+$E$21+$E$22+2</f>
        <v>22</v>
      </c>
      <c r="D28" s="14"/>
      <c r="E28" s="25">
        <f aca="true" t="shared" si="8" ref="E28:E39">IF(C28&gt;$E$23,"0",($E$23-C28)*0.08)</f>
        <v>1.52</v>
      </c>
      <c r="F28" s="31">
        <f>IF(E28="0","0",($E$10*0.75)*(1-E28))</f>
        <v>-975.2606452918893</v>
      </c>
      <c r="G28" s="25" t="str">
        <f aca="true" t="shared" si="9" ref="G28:G39">IF(C28&lt;$E$23,"0",(C28-$E$23)*0.02)</f>
        <v>0</v>
      </c>
      <c r="H28" s="30" t="str">
        <f>IF(G28="0","0",($E$10*0.75)*(1+G28))</f>
        <v>0</v>
      </c>
      <c r="I28" s="32">
        <f t="shared" si="5"/>
        <v>20</v>
      </c>
      <c r="J28" s="4">
        <f t="shared" si="6"/>
        <v>20</v>
      </c>
      <c r="K28" s="14"/>
      <c r="L28" s="25">
        <f aca="true" t="shared" si="10" ref="L28:L39">IF(J28&gt;$E$23,"0",($E$23-J28)*0.08)</f>
        <v>1.68</v>
      </c>
      <c r="M28" s="31">
        <f>IF(L28="0","0",($L$14*0.66)*(1-L28))</f>
        <v>-1242.4057259110073</v>
      </c>
      <c r="N28" s="25" t="str">
        <f aca="true" t="shared" si="11" ref="N28:N39">IF(J28&lt;$E$23,"0",(J28-$E$23)*0.02)</f>
        <v>0</v>
      </c>
      <c r="O28" s="30" t="str">
        <f>IF(N28="0","0",($L$14*0.66)*(1+N28))</f>
        <v>0</v>
      </c>
    </row>
    <row r="29" spans="1:15" ht="12.75">
      <c r="A29" s="19">
        <f>A26+30</f>
        <v>30</v>
      </c>
      <c r="B29" s="32">
        <f t="shared" si="7"/>
        <v>30</v>
      </c>
      <c r="C29" s="4">
        <f>A29-$E$19+$E$20+$E$21+$E$22+3</f>
        <v>33</v>
      </c>
      <c r="D29" s="14"/>
      <c r="E29" s="25">
        <f t="shared" si="8"/>
        <v>0.64</v>
      </c>
      <c r="F29" s="31">
        <f aca="true" t="shared" si="12" ref="F29:F39">IF(E29="0","0",($E$10*0.75)*(1-E29))</f>
        <v>675.1804467405387</v>
      </c>
      <c r="G29" s="25" t="str">
        <f t="shared" si="9"/>
        <v>0</v>
      </c>
      <c r="H29" s="30" t="str">
        <f aca="true" t="shared" si="13" ref="H29:H39">IF(G29="0","0",($E$10*0.75)*(1+G29))</f>
        <v>0</v>
      </c>
      <c r="I29" s="32">
        <f t="shared" si="5"/>
        <v>30</v>
      </c>
      <c r="J29" s="4">
        <f t="shared" si="6"/>
        <v>30</v>
      </c>
      <c r="K29" s="14"/>
      <c r="L29" s="25">
        <f t="shared" si="10"/>
        <v>0.88</v>
      </c>
      <c r="M29" s="31">
        <f aca="true" t="shared" si="14" ref="M29:M39">IF(L29="0","0",($L$14*0.66)*(1-L29))</f>
        <v>219.24806927841306</v>
      </c>
      <c r="N29" s="25" t="str">
        <f t="shared" si="11"/>
        <v>0</v>
      </c>
      <c r="O29" s="30" t="str">
        <f aca="true" t="shared" si="15" ref="O29:O39">IF(N29="0","0",($L$14*0.66)*(1+N29))</f>
        <v>0</v>
      </c>
    </row>
    <row r="30" spans="1:15" ht="12.75">
      <c r="A30" s="19">
        <f>A26+31</f>
        <v>31</v>
      </c>
      <c r="B30" s="32">
        <f t="shared" si="7"/>
        <v>31</v>
      </c>
      <c r="C30" s="4">
        <f>A30-$E$19+$E$20+$E$21+$E$22+3.1</f>
        <v>34.1</v>
      </c>
      <c r="D30" s="14"/>
      <c r="E30" s="25">
        <f t="shared" si="8"/>
        <v>0.5519999999999999</v>
      </c>
      <c r="F30" s="31">
        <f t="shared" si="12"/>
        <v>840.2245559437816</v>
      </c>
      <c r="G30" s="25" t="str">
        <f t="shared" si="9"/>
        <v>0</v>
      </c>
      <c r="H30" s="30" t="str">
        <f t="shared" si="13"/>
        <v>0</v>
      </c>
      <c r="I30" s="32">
        <f t="shared" si="5"/>
        <v>31</v>
      </c>
      <c r="J30" s="4">
        <f t="shared" si="6"/>
        <v>31</v>
      </c>
      <c r="K30" s="14"/>
      <c r="L30" s="25">
        <f t="shared" si="10"/>
        <v>0.8</v>
      </c>
      <c r="M30" s="31">
        <f t="shared" si="14"/>
        <v>365.41344879735504</v>
      </c>
      <c r="N30" s="25" t="str">
        <f t="shared" si="11"/>
        <v>0</v>
      </c>
      <c r="O30" s="30" t="str">
        <f t="shared" si="15"/>
        <v>0</v>
      </c>
    </row>
    <row r="31" spans="1:15" ht="12.75">
      <c r="A31" s="19">
        <f>A26+32</f>
        <v>32</v>
      </c>
      <c r="B31" s="32">
        <f t="shared" si="7"/>
        <v>32</v>
      </c>
      <c r="C31" s="4">
        <f>A31-$E$19+$E$20+$E$21+$E$22+3.2</f>
        <v>35.2</v>
      </c>
      <c r="D31" s="14"/>
      <c r="E31" s="25">
        <f>IF(C31&gt;$E$23,"0",($E$23-C31)*0.08)</f>
        <v>0.4639999999999998</v>
      </c>
      <c r="F31" s="31">
        <f t="shared" si="12"/>
        <v>1005.2686651470248</v>
      </c>
      <c r="G31" s="25" t="str">
        <f t="shared" si="9"/>
        <v>0</v>
      </c>
      <c r="H31" s="30" t="str">
        <f t="shared" si="13"/>
        <v>0</v>
      </c>
      <c r="I31" s="32">
        <f t="shared" si="5"/>
        <v>32</v>
      </c>
      <c r="J31" s="4">
        <f t="shared" si="6"/>
        <v>32</v>
      </c>
      <c r="K31" s="14"/>
      <c r="L31" s="25">
        <f t="shared" si="10"/>
        <v>0.72</v>
      </c>
      <c r="M31" s="31">
        <f t="shared" si="14"/>
        <v>511.57882831629723</v>
      </c>
      <c r="N31" s="25" t="str">
        <f t="shared" si="11"/>
        <v>0</v>
      </c>
      <c r="O31" s="30" t="str">
        <f t="shared" si="15"/>
        <v>0</v>
      </c>
    </row>
    <row r="32" spans="1:15" ht="12.75">
      <c r="A32" s="19">
        <f>A26+33</f>
        <v>33</v>
      </c>
      <c r="B32" s="32">
        <f t="shared" si="7"/>
        <v>33</v>
      </c>
      <c r="C32" s="4">
        <f>A32-$E$19+$E$20+$E$21+$E$22+3.3</f>
        <v>36.3</v>
      </c>
      <c r="D32" s="14"/>
      <c r="E32" s="25">
        <f t="shared" si="8"/>
        <v>0.3760000000000002</v>
      </c>
      <c r="F32" s="31">
        <f t="shared" si="12"/>
        <v>1170.3127743502666</v>
      </c>
      <c r="G32" s="25" t="str">
        <f t="shared" si="9"/>
        <v>0</v>
      </c>
      <c r="H32" s="30" t="str">
        <f t="shared" si="13"/>
        <v>0</v>
      </c>
      <c r="I32" s="32">
        <f t="shared" si="5"/>
        <v>33</v>
      </c>
      <c r="J32" s="4">
        <f t="shared" si="6"/>
        <v>33</v>
      </c>
      <c r="K32" s="14"/>
      <c r="L32" s="25">
        <f t="shared" si="10"/>
        <v>0.64</v>
      </c>
      <c r="M32" s="31">
        <f t="shared" si="14"/>
        <v>657.7442078352392</v>
      </c>
      <c r="N32" s="25" t="str">
        <f t="shared" si="11"/>
        <v>0</v>
      </c>
      <c r="O32" s="30" t="str">
        <f t="shared" si="15"/>
        <v>0</v>
      </c>
    </row>
    <row r="33" spans="1:15" ht="12.75">
      <c r="A33" s="19">
        <f>A26+34</f>
        <v>34</v>
      </c>
      <c r="B33" s="32">
        <f t="shared" si="7"/>
        <v>34</v>
      </c>
      <c r="C33" s="4">
        <f>A33-$E$19+$E$20+$E$21+$E$22+3.4</f>
        <v>37.4</v>
      </c>
      <c r="D33" s="14"/>
      <c r="E33" s="25">
        <f t="shared" si="8"/>
        <v>0.28800000000000014</v>
      </c>
      <c r="F33" s="31">
        <f t="shared" si="12"/>
        <v>1335.3568835535098</v>
      </c>
      <c r="G33" s="25" t="str">
        <f t="shared" si="9"/>
        <v>0</v>
      </c>
      <c r="H33" s="30" t="str">
        <f t="shared" si="13"/>
        <v>0</v>
      </c>
      <c r="I33" s="32">
        <f t="shared" si="5"/>
        <v>34</v>
      </c>
      <c r="J33" s="4">
        <f t="shared" si="6"/>
        <v>34</v>
      </c>
      <c r="K33" s="14"/>
      <c r="L33" s="25">
        <f t="shared" si="10"/>
        <v>0.56</v>
      </c>
      <c r="M33" s="31">
        <f t="shared" si="14"/>
        <v>803.9095873541811</v>
      </c>
      <c r="N33" s="25" t="str">
        <f t="shared" si="11"/>
        <v>0</v>
      </c>
      <c r="O33" s="30" t="str">
        <f t="shared" si="15"/>
        <v>0</v>
      </c>
    </row>
    <row r="34" spans="1:15" ht="12.75">
      <c r="A34" s="19">
        <f>A26+35</f>
        <v>35</v>
      </c>
      <c r="B34" s="37">
        <f t="shared" si="7"/>
        <v>35</v>
      </c>
      <c r="C34" s="27">
        <f>A34-$E$19+$E$20+$E$21+$E$22+3.5</f>
        <v>38.5</v>
      </c>
      <c r="D34" s="28"/>
      <c r="E34" s="29">
        <f t="shared" si="8"/>
        <v>0.2</v>
      </c>
      <c r="F34" s="31">
        <f t="shared" si="12"/>
        <v>1500.4009927567529</v>
      </c>
      <c r="G34" s="29" t="str">
        <f t="shared" si="9"/>
        <v>0</v>
      </c>
      <c r="H34" s="30" t="str">
        <f t="shared" si="13"/>
        <v>0</v>
      </c>
      <c r="I34" s="37">
        <f t="shared" si="5"/>
        <v>35</v>
      </c>
      <c r="J34" s="27">
        <f t="shared" si="6"/>
        <v>35</v>
      </c>
      <c r="K34" s="28"/>
      <c r="L34" s="29">
        <f t="shared" si="10"/>
        <v>0.48</v>
      </c>
      <c r="M34" s="31">
        <f t="shared" si="14"/>
        <v>950.0749668731233</v>
      </c>
      <c r="N34" s="29" t="str">
        <f t="shared" si="11"/>
        <v>0</v>
      </c>
      <c r="O34" s="30" t="str">
        <f t="shared" si="15"/>
        <v>0</v>
      </c>
    </row>
    <row r="35" spans="1:15" ht="12.75">
      <c r="A35" s="19">
        <f>A26+36</f>
        <v>36</v>
      </c>
      <c r="B35" s="32">
        <f t="shared" si="7"/>
        <v>36</v>
      </c>
      <c r="C35" s="4">
        <f>A35-$E$19+$E$20+$E$21+$E$22+3.6</f>
        <v>39.6</v>
      </c>
      <c r="D35" s="14"/>
      <c r="E35" s="25">
        <f t="shared" si="8"/>
        <v>0.11199999999999989</v>
      </c>
      <c r="F35" s="31">
        <f t="shared" si="12"/>
        <v>1665.4451019599958</v>
      </c>
      <c r="G35" s="25" t="str">
        <f t="shared" si="9"/>
        <v>0</v>
      </c>
      <c r="H35" s="30" t="str">
        <f t="shared" si="13"/>
        <v>0</v>
      </c>
      <c r="I35" s="32">
        <f t="shared" si="5"/>
        <v>36</v>
      </c>
      <c r="J35" s="4">
        <f t="shared" si="6"/>
        <v>36</v>
      </c>
      <c r="K35" s="14"/>
      <c r="L35" s="25">
        <f t="shared" si="10"/>
        <v>0.4</v>
      </c>
      <c r="M35" s="31">
        <f t="shared" si="14"/>
        <v>1096.2403463920652</v>
      </c>
      <c r="N35" s="25" t="str">
        <f t="shared" si="11"/>
        <v>0</v>
      </c>
      <c r="O35" s="30" t="str">
        <f t="shared" si="15"/>
        <v>0</v>
      </c>
    </row>
    <row r="36" spans="1:15" ht="12.75">
      <c r="A36" s="19">
        <f>A26+37</f>
        <v>37</v>
      </c>
      <c r="B36" s="32">
        <f t="shared" si="7"/>
        <v>37</v>
      </c>
      <c r="C36" s="4">
        <f>A36-$E$19+$E$20+$E$21+$E$22+3.7</f>
        <v>40.7</v>
      </c>
      <c r="D36" s="14"/>
      <c r="E36" s="25">
        <f t="shared" si="8"/>
        <v>0.02399999999999977</v>
      </c>
      <c r="F36" s="31">
        <f t="shared" si="12"/>
        <v>1830.4892111632387</v>
      </c>
      <c r="G36" s="25" t="str">
        <f t="shared" si="9"/>
        <v>0</v>
      </c>
      <c r="H36" s="30" t="str">
        <f t="shared" si="13"/>
        <v>0</v>
      </c>
      <c r="I36" s="32">
        <f t="shared" si="5"/>
        <v>37</v>
      </c>
      <c r="J36" s="4">
        <f t="shared" si="6"/>
        <v>37</v>
      </c>
      <c r="K36" s="14"/>
      <c r="L36" s="25">
        <f t="shared" si="10"/>
        <v>0.32</v>
      </c>
      <c r="M36" s="31">
        <f t="shared" si="14"/>
        <v>1242.4057259110073</v>
      </c>
      <c r="N36" s="25" t="str">
        <f t="shared" si="11"/>
        <v>0</v>
      </c>
      <c r="O36" s="30" t="str">
        <f t="shared" si="15"/>
        <v>0</v>
      </c>
    </row>
    <row r="37" spans="1:15" ht="12.75">
      <c r="A37" s="19">
        <f>A26+38</f>
        <v>38</v>
      </c>
      <c r="B37" s="32">
        <f t="shared" si="7"/>
        <v>38</v>
      </c>
      <c r="C37" s="4">
        <f>A37-$E$19+$E$20+$E$21+$E$22+3.8</f>
        <v>41.8</v>
      </c>
      <c r="D37" s="14"/>
      <c r="E37" s="25" t="str">
        <f t="shared" si="8"/>
        <v>0</v>
      </c>
      <c r="F37" s="31" t="str">
        <f t="shared" si="12"/>
        <v>0</v>
      </c>
      <c r="G37" s="25">
        <f t="shared" si="9"/>
        <v>0.015999999999999945</v>
      </c>
      <c r="H37" s="30">
        <f t="shared" si="13"/>
        <v>1905.509260801076</v>
      </c>
      <c r="I37" s="32">
        <f t="shared" si="5"/>
        <v>38</v>
      </c>
      <c r="J37" s="4">
        <f t="shared" si="6"/>
        <v>38</v>
      </c>
      <c r="K37" s="14"/>
      <c r="L37" s="25">
        <f t="shared" si="10"/>
        <v>0.24</v>
      </c>
      <c r="M37" s="31">
        <f t="shared" si="14"/>
        <v>1388.5711054299495</v>
      </c>
      <c r="N37" s="25" t="str">
        <f t="shared" si="11"/>
        <v>0</v>
      </c>
      <c r="O37" s="30" t="str">
        <f t="shared" si="15"/>
        <v>0</v>
      </c>
    </row>
    <row r="38" spans="1:15" ht="12.75">
      <c r="A38" s="19">
        <f>A26+39</f>
        <v>39</v>
      </c>
      <c r="B38" s="32">
        <f t="shared" si="7"/>
        <v>39</v>
      </c>
      <c r="C38" s="4">
        <f>A38-$E$19+$E$20+$E$21+$E$22+3.9</f>
        <v>42.9</v>
      </c>
      <c r="D38" s="14"/>
      <c r="E38" s="25" t="str">
        <f t="shared" si="8"/>
        <v>0</v>
      </c>
      <c r="F38" s="31" t="str">
        <f t="shared" si="12"/>
        <v>0</v>
      </c>
      <c r="G38" s="25">
        <f t="shared" si="9"/>
        <v>0.03799999999999997</v>
      </c>
      <c r="H38" s="30">
        <f t="shared" si="13"/>
        <v>1946.7702881018868</v>
      </c>
      <c r="I38" s="32">
        <f t="shared" si="5"/>
        <v>39</v>
      </c>
      <c r="J38" s="4">
        <f t="shared" si="6"/>
        <v>39</v>
      </c>
      <c r="K38" s="14"/>
      <c r="L38" s="25">
        <f t="shared" si="10"/>
        <v>0.16</v>
      </c>
      <c r="M38" s="31">
        <f t="shared" si="14"/>
        <v>1534.7364849488915</v>
      </c>
      <c r="N38" s="25" t="str">
        <f t="shared" si="11"/>
        <v>0</v>
      </c>
      <c r="O38" s="30" t="str">
        <f t="shared" si="15"/>
        <v>0</v>
      </c>
    </row>
    <row r="39" spans="1:15" ht="13.5" thickBot="1">
      <c r="A39" s="20">
        <f>A26+40</f>
        <v>40</v>
      </c>
      <c r="B39" s="33">
        <f t="shared" si="7"/>
        <v>40</v>
      </c>
      <c r="C39" s="5">
        <f>A39-$E$19+$E$20+$E$21+$E$22+4</f>
        <v>44</v>
      </c>
      <c r="D39" s="16"/>
      <c r="E39" s="26" t="str">
        <f t="shared" si="8"/>
        <v>0</v>
      </c>
      <c r="F39" s="34" t="str">
        <f t="shared" si="12"/>
        <v>0</v>
      </c>
      <c r="G39" s="26">
        <f t="shared" si="9"/>
        <v>0.06</v>
      </c>
      <c r="H39" s="35">
        <f t="shared" si="13"/>
        <v>1988.0313154026976</v>
      </c>
      <c r="I39" s="33">
        <f t="shared" si="5"/>
        <v>40</v>
      </c>
      <c r="J39" s="5">
        <f t="shared" si="6"/>
        <v>40</v>
      </c>
      <c r="K39" s="16"/>
      <c r="L39" s="26">
        <f t="shared" si="10"/>
        <v>0.08</v>
      </c>
      <c r="M39" s="34">
        <f t="shared" si="14"/>
        <v>1680.9018644678335</v>
      </c>
      <c r="N39" s="26" t="str">
        <f t="shared" si="11"/>
        <v>0</v>
      </c>
      <c r="O39" s="35" t="str">
        <f t="shared" si="15"/>
        <v>0</v>
      </c>
    </row>
    <row r="40" spans="1:15" ht="12.75">
      <c r="A40" s="48"/>
      <c r="B40" s="48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2.75">
      <c r="A41" s="49" t="s">
        <v>18</v>
      </c>
      <c r="B41" s="48"/>
      <c r="C41" s="45"/>
      <c r="D41" s="45"/>
      <c r="E41" s="45"/>
      <c r="F41" s="45"/>
      <c r="G41" s="45"/>
      <c r="H41" s="45"/>
      <c r="I41" s="50" t="s">
        <v>25</v>
      </c>
      <c r="J41" s="45"/>
      <c r="K41" s="45"/>
      <c r="L41" s="45"/>
      <c r="M41" s="45"/>
      <c r="N41" s="45"/>
      <c r="O41" s="45"/>
    </row>
    <row r="42" spans="1:15" ht="12.75">
      <c r="A42" s="49" t="s">
        <v>5</v>
      </c>
      <c r="B42" s="48"/>
      <c r="C42" s="45"/>
      <c r="D42" s="45"/>
      <c r="E42" s="45"/>
      <c r="F42" s="45"/>
      <c r="G42" s="45"/>
      <c r="H42" s="45"/>
      <c r="I42" s="49" t="s">
        <v>7</v>
      </c>
      <c r="J42" s="45"/>
      <c r="K42" s="45"/>
      <c r="L42" s="45"/>
      <c r="M42" s="45"/>
      <c r="N42" s="45"/>
      <c r="O42" s="45"/>
    </row>
    <row r="43" spans="1:15" ht="12.75">
      <c r="A43" s="49" t="s">
        <v>6</v>
      </c>
      <c r="B43" s="45"/>
      <c r="C43" s="45"/>
      <c r="D43" s="45"/>
      <c r="E43" s="45"/>
      <c r="F43" s="45"/>
      <c r="G43" s="45"/>
      <c r="H43" s="45"/>
      <c r="I43" s="50" t="s">
        <v>22</v>
      </c>
      <c r="J43" s="45"/>
      <c r="K43" s="45"/>
      <c r="L43" s="45"/>
      <c r="M43" s="45"/>
      <c r="N43" s="45"/>
      <c r="O43" s="45"/>
    </row>
    <row r="44" spans="1:15" ht="12.75">
      <c r="A44" s="50" t="s">
        <v>27</v>
      </c>
      <c r="B44" s="45"/>
      <c r="C44" s="45"/>
      <c r="D44" s="45"/>
      <c r="E44" s="45"/>
      <c r="F44" s="56">
        <f>E10*0.75</f>
        <v>1875.501240945941</v>
      </c>
      <c r="G44" s="45"/>
      <c r="H44" s="45"/>
      <c r="I44" s="50" t="s">
        <v>26</v>
      </c>
      <c r="J44" s="45"/>
      <c r="K44" s="45"/>
      <c r="L44" s="45"/>
      <c r="M44" s="45"/>
      <c r="N44" s="56">
        <f>L14*0.66</f>
        <v>1827.0672439867756</v>
      </c>
      <c r="O44" s="45"/>
    </row>
    <row r="45" spans="1:15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</sheetData>
  <sheetProtection password="DDE3" sheet="1" objects="1" scenarios="1" selectLockedCells="1"/>
  <protectedRanges>
    <protectedRange password="DDE3" sqref="E18:E23" name="Plage1"/>
  </protectedRanges>
  <mergeCells count="12">
    <mergeCell ref="A19:C19"/>
    <mergeCell ref="G19:I20"/>
    <mergeCell ref="A1:F2"/>
    <mergeCell ref="H1:M2"/>
    <mergeCell ref="I24:O24"/>
    <mergeCell ref="B24:H24"/>
    <mergeCell ref="A18:C18"/>
    <mergeCell ref="A17:C17"/>
    <mergeCell ref="A23:C23"/>
    <mergeCell ref="A21:C21"/>
    <mergeCell ref="A20:C20"/>
    <mergeCell ref="A22:C22"/>
  </mergeCells>
  <printOptions horizontalCentered="1" verticalCentered="1"/>
  <pageMargins left="0.4330708661417323" right="0.4330708661417323" top="0.35433070866141736" bottom="0.35433070866141736" header="0" footer="0"/>
  <pageSetup fitToHeight="1" fitToWidth="1" horizontalDpi="300" verticalDpi="3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5"/>
  <sheetViews>
    <sheetView showGridLines="0" zoomScalePageLayoutView="0" workbookViewId="0" topLeftCell="A4">
      <selection activeCell="E18" sqref="E18"/>
    </sheetView>
  </sheetViews>
  <sheetFormatPr defaultColWidth="11.421875" defaultRowHeight="12.75"/>
  <cols>
    <col min="1" max="3" width="11.421875" style="1" customWidth="1"/>
    <col min="4" max="4" width="11.421875" style="1" hidden="1" customWidth="1"/>
    <col min="5" max="10" width="11.421875" style="1" customWidth="1"/>
    <col min="11" max="11" width="11.421875" style="1" hidden="1" customWidth="1"/>
    <col min="12" max="16384" width="11.421875" style="1" customWidth="1"/>
  </cols>
  <sheetData>
    <row r="1" spans="1:15" ht="15" customHeight="1">
      <c r="A1" s="71" t="s">
        <v>32</v>
      </c>
      <c r="B1" s="72"/>
      <c r="C1" s="72"/>
      <c r="D1" s="72"/>
      <c r="E1" s="72"/>
      <c r="F1" s="73"/>
      <c r="G1" s="45"/>
      <c r="H1" s="71" t="s">
        <v>33</v>
      </c>
      <c r="I1" s="83"/>
      <c r="J1" s="83"/>
      <c r="K1" s="83"/>
      <c r="L1" s="83"/>
      <c r="M1" s="84"/>
      <c r="N1" s="45"/>
      <c r="O1" s="45"/>
    </row>
    <row r="2" spans="1:15" ht="12.75">
      <c r="A2" s="74"/>
      <c r="B2" s="75"/>
      <c r="C2" s="75"/>
      <c r="D2" s="75"/>
      <c r="E2" s="75"/>
      <c r="F2" s="76"/>
      <c r="G2" s="45"/>
      <c r="H2" s="85"/>
      <c r="I2" s="86"/>
      <c r="J2" s="86"/>
      <c r="K2" s="86"/>
      <c r="L2" s="86"/>
      <c r="M2" s="87"/>
      <c r="N2" s="45"/>
      <c r="O2" s="45"/>
    </row>
    <row r="3" spans="1:15" ht="12.75">
      <c r="A3" s="38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40" t="s">
        <v>9</v>
      </c>
      <c r="G3" s="45"/>
      <c r="H3" s="38" t="s">
        <v>0</v>
      </c>
      <c r="I3" s="39" t="s">
        <v>1</v>
      </c>
      <c r="J3" s="39" t="s">
        <v>2</v>
      </c>
      <c r="K3" s="39" t="s">
        <v>3</v>
      </c>
      <c r="L3" s="39" t="s">
        <v>4</v>
      </c>
      <c r="M3" s="40" t="s">
        <v>9</v>
      </c>
      <c r="N3" s="45"/>
      <c r="O3" s="55" t="s">
        <v>23</v>
      </c>
    </row>
    <row r="4" spans="1:15" ht="12.75">
      <c r="A4" s="7">
        <v>1</v>
      </c>
      <c r="B4" s="4">
        <v>308</v>
      </c>
      <c r="C4" s="21">
        <f aca="true" t="shared" si="0" ref="C4:C10">B4*$E$17</f>
        <v>1419.033</v>
      </c>
      <c r="D4" s="4">
        <v>0.952224734</v>
      </c>
      <c r="E4" s="21">
        <f aca="true" t="shared" si="1" ref="E4:E10">C4*D4</f>
        <v>1351.238320962222</v>
      </c>
      <c r="F4" s="8">
        <v>1</v>
      </c>
      <c r="G4" s="45"/>
      <c r="H4" s="7">
        <v>1</v>
      </c>
      <c r="I4" s="4">
        <v>390</v>
      </c>
      <c r="J4" s="21">
        <f aca="true" t="shared" si="2" ref="J4:J14">I4*$E$17</f>
        <v>1796.8274999999999</v>
      </c>
      <c r="K4" s="4">
        <v>0.952224734</v>
      </c>
      <c r="L4" s="21">
        <f aca="true" t="shared" si="3" ref="L4:L14">J4*K4</f>
        <v>1710.9835882313848</v>
      </c>
      <c r="M4" s="8">
        <v>1</v>
      </c>
      <c r="N4" s="45"/>
      <c r="O4" s="56">
        <f aca="true" t="shared" si="4" ref="O4:O11">L4-E4</f>
        <v>359.7452672691629</v>
      </c>
    </row>
    <row r="5" spans="1:15" ht="12.75">
      <c r="A5" s="7">
        <v>2</v>
      </c>
      <c r="B5" s="4">
        <v>324</v>
      </c>
      <c r="C5" s="21">
        <f t="shared" si="0"/>
        <v>1492.7489999999998</v>
      </c>
      <c r="D5" s="4">
        <v>0.952224734</v>
      </c>
      <c r="E5" s="21">
        <f t="shared" si="1"/>
        <v>1421.4325194537657</v>
      </c>
      <c r="F5" s="8">
        <v>2</v>
      </c>
      <c r="G5" s="45"/>
      <c r="H5" s="7">
        <v>2</v>
      </c>
      <c r="I5" s="4">
        <v>403</v>
      </c>
      <c r="J5" s="21">
        <f t="shared" si="2"/>
        <v>1856.72175</v>
      </c>
      <c r="K5" s="4">
        <v>0.952224734</v>
      </c>
      <c r="L5" s="21">
        <f t="shared" si="3"/>
        <v>1768.0163745057644</v>
      </c>
      <c r="M5" s="8">
        <v>2</v>
      </c>
      <c r="N5" s="45"/>
      <c r="O5" s="56">
        <f t="shared" si="4"/>
        <v>346.5838550519986</v>
      </c>
    </row>
    <row r="6" spans="1:15" ht="12.75">
      <c r="A6" s="7">
        <v>3</v>
      </c>
      <c r="B6" s="4">
        <v>343</v>
      </c>
      <c r="C6" s="21">
        <f t="shared" si="0"/>
        <v>1580.28675</v>
      </c>
      <c r="D6" s="4">
        <v>0.952224734</v>
      </c>
      <c r="E6" s="21">
        <f t="shared" si="1"/>
        <v>1504.7881301624743</v>
      </c>
      <c r="F6" s="8">
        <v>3</v>
      </c>
      <c r="G6" s="45"/>
      <c r="H6" s="7">
        <v>3</v>
      </c>
      <c r="I6" s="4">
        <v>420</v>
      </c>
      <c r="J6" s="21">
        <f t="shared" si="2"/>
        <v>1935.0449999999998</v>
      </c>
      <c r="K6" s="4">
        <v>0.952224734</v>
      </c>
      <c r="L6" s="21">
        <f t="shared" si="3"/>
        <v>1842.5977104030299</v>
      </c>
      <c r="M6" s="8">
        <v>2</v>
      </c>
      <c r="N6" s="45"/>
      <c r="O6" s="56">
        <f t="shared" si="4"/>
        <v>337.80958024055553</v>
      </c>
    </row>
    <row r="7" spans="1:15" ht="12.75">
      <c r="A7" s="7">
        <v>4</v>
      </c>
      <c r="B7" s="4">
        <v>367</v>
      </c>
      <c r="C7" s="21">
        <f t="shared" si="0"/>
        <v>1690.8607499999998</v>
      </c>
      <c r="D7" s="4">
        <v>0.952224734</v>
      </c>
      <c r="E7" s="21">
        <f t="shared" si="1"/>
        <v>1610.0794278997903</v>
      </c>
      <c r="F7" s="8">
        <v>3</v>
      </c>
      <c r="G7" s="45"/>
      <c r="H7" s="7">
        <v>4</v>
      </c>
      <c r="I7" s="4">
        <v>440</v>
      </c>
      <c r="J7" s="21">
        <f t="shared" si="2"/>
        <v>2027.1899999999998</v>
      </c>
      <c r="K7" s="4">
        <v>0.952224734</v>
      </c>
      <c r="L7" s="21">
        <f t="shared" si="3"/>
        <v>1930.3404585174599</v>
      </c>
      <c r="M7" s="8">
        <v>2</v>
      </c>
      <c r="N7" s="45"/>
      <c r="O7" s="56">
        <f t="shared" si="4"/>
        <v>320.2610306176696</v>
      </c>
    </row>
    <row r="8" spans="1:15" ht="12.75">
      <c r="A8" s="7">
        <v>5</v>
      </c>
      <c r="B8" s="4">
        <v>390</v>
      </c>
      <c r="C8" s="21">
        <f t="shared" si="0"/>
        <v>1796.8274999999999</v>
      </c>
      <c r="D8" s="4">
        <v>0.952224734</v>
      </c>
      <c r="E8" s="21">
        <f t="shared" si="1"/>
        <v>1710.9835882313848</v>
      </c>
      <c r="F8" s="8">
        <v>4</v>
      </c>
      <c r="G8" s="45"/>
      <c r="H8" s="7">
        <v>5</v>
      </c>
      <c r="I8" s="4">
        <v>460</v>
      </c>
      <c r="J8" s="21">
        <f t="shared" si="2"/>
        <v>2119.335</v>
      </c>
      <c r="K8" s="4">
        <v>0.952224734</v>
      </c>
      <c r="L8" s="21">
        <f t="shared" si="3"/>
        <v>2018.0832066318899</v>
      </c>
      <c r="M8" s="8">
        <v>2</v>
      </c>
      <c r="N8" s="45"/>
      <c r="O8" s="56">
        <f t="shared" si="4"/>
        <v>307.09961840050505</v>
      </c>
    </row>
    <row r="9" spans="1:15" ht="12.75">
      <c r="A9" s="7">
        <v>6</v>
      </c>
      <c r="B9" s="4">
        <v>416</v>
      </c>
      <c r="C9" s="21">
        <f t="shared" si="0"/>
        <v>1916.6159999999998</v>
      </c>
      <c r="D9" s="4">
        <v>0.952224734</v>
      </c>
      <c r="E9" s="21">
        <f t="shared" si="1"/>
        <v>1825.0491607801437</v>
      </c>
      <c r="F9" s="8">
        <v>4</v>
      </c>
      <c r="G9" s="45"/>
      <c r="H9" s="7">
        <v>6</v>
      </c>
      <c r="I9" s="4">
        <v>483</v>
      </c>
      <c r="J9" s="21">
        <f t="shared" si="2"/>
        <v>2225.3017499999996</v>
      </c>
      <c r="K9" s="4">
        <v>0.952224734</v>
      </c>
      <c r="L9" s="21">
        <f t="shared" si="3"/>
        <v>2118.987366963484</v>
      </c>
      <c r="M9" s="8">
        <v>3</v>
      </c>
      <c r="N9" s="45"/>
      <c r="O9" s="56">
        <f t="shared" si="4"/>
        <v>293.9382061833403</v>
      </c>
    </row>
    <row r="10" spans="1:15" ht="12.75">
      <c r="A10" s="7">
        <v>7</v>
      </c>
      <c r="B10" s="4">
        <v>446</v>
      </c>
      <c r="C10" s="21">
        <f t="shared" si="0"/>
        <v>2054.8334999999997</v>
      </c>
      <c r="D10" s="4">
        <v>0.952224734</v>
      </c>
      <c r="E10" s="21">
        <f t="shared" si="1"/>
        <v>1956.6632829517887</v>
      </c>
      <c r="F10" s="8">
        <v>4</v>
      </c>
      <c r="G10" s="45"/>
      <c r="H10" s="7">
        <v>7</v>
      </c>
      <c r="I10" s="4">
        <v>506</v>
      </c>
      <c r="J10" s="21">
        <f t="shared" si="2"/>
        <v>2331.2684999999997</v>
      </c>
      <c r="K10" s="4">
        <v>0.952224734</v>
      </c>
      <c r="L10" s="21">
        <f t="shared" si="3"/>
        <v>2219.8915272950785</v>
      </c>
      <c r="M10" s="8">
        <v>3</v>
      </c>
      <c r="N10" s="45"/>
      <c r="O10" s="56">
        <f t="shared" si="4"/>
        <v>263.2282443432898</v>
      </c>
    </row>
    <row r="11" spans="1:15" ht="12.75">
      <c r="A11" s="7">
        <v>8</v>
      </c>
      <c r="B11" s="10">
        <v>481</v>
      </c>
      <c r="C11" s="21">
        <f>B11*$E$17</f>
        <v>2216.08725</v>
      </c>
      <c r="D11" s="4">
        <v>0.952224734</v>
      </c>
      <c r="E11" s="11">
        <f>C11*D11</f>
        <v>2110.2130921520416</v>
      </c>
      <c r="F11" s="6"/>
      <c r="G11" s="45"/>
      <c r="H11" s="7">
        <v>8</v>
      </c>
      <c r="I11" s="4">
        <v>529</v>
      </c>
      <c r="J11" s="21">
        <f t="shared" si="2"/>
        <v>2437.2352499999997</v>
      </c>
      <c r="K11" s="4">
        <v>0.952224734</v>
      </c>
      <c r="L11" s="21">
        <f t="shared" si="3"/>
        <v>2320.795687626673</v>
      </c>
      <c r="M11" s="8">
        <v>4</v>
      </c>
      <c r="N11" s="45"/>
      <c r="O11" s="56">
        <f t="shared" si="4"/>
        <v>210.5825954746315</v>
      </c>
    </row>
    <row r="12" spans="1:15" ht="13.5" thickBot="1">
      <c r="A12" s="12"/>
      <c r="B12" s="22"/>
      <c r="C12" s="23"/>
      <c r="D12" s="5"/>
      <c r="E12" s="24"/>
      <c r="F12" s="13">
        <f>SUM(F4:F11)</f>
        <v>21</v>
      </c>
      <c r="G12" s="45"/>
      <c r="H12" s="7">
        <v>9</v>
      </c>
      <c r="I12" s="4">
        <v>552</v>
      </c>
      <c r="J12" s="21">
        <f t="shared" si="2"/>
        <v>2543.2019999999998</v>
      </c>
      <c r="K12" s="4">
        <v>0.952224734</v>
      </c>
      <c r="L12" s="21">
        <f t="shared" si="3"/>
        <v>2421.6998479582676</v>
      </c>
      <c r="M12" s="8">
        <v>4</v>
      </c>
      <c r="N12" s="45"/>
      <c r="O12" s="56">
        <f>L12-L11</f>
        <v>100.90416033159454</v>
      </c>
    </row>
    <row r="13" spans="1:15" ht="12.75">
      <c r="A13" s="48"/>
      <c r="B13" s="51"/>
      <c r="C13" s="52"/>
      <c r="D13" s="48"/>
      <c r="E13" s="53"/>
      <c r="F13" s="54"/>
      <c r="G13" s="45"/>
      <c r="H13" s="7">
        <v>10</v>
      </c>
      <c r="I13" s="4">
        <v>578</v>
      </c>
      <c r="J13" s="21">
        <f t="shared" si="2"/>
        <v>2662.9905</v>
      </c>
      <c r="K13" s="4">
        <v>0.952224734</v>
      </c>
      <c r="L13" s="21">
        <f t="shared" si="3"/>
        <v>2535.7654205070266</v>
      </c>
      <c r="M13" s="8">
        <v>4</v>
      </c>
      <c r="N13" s="45"/>
      <c r="O13" s="56">
        <f>L13-L12</f>
        <v>114.06557254875906</v>
      </c>
    </row>
    <row r="14" spans="1:15" ht="12.75">
      <c r="A14" s="48"/>
      <c r="B14" s="51"/>
      <c r="C14" s="52"/>
      <c r="D14" s="48"/>
      <c r="E14" s="53"/>
      <c r="F14" s="54"/>
      <c r="G14" s="45"/>
      <c r="H14" s="7">
        <v>11</v>
      </c>
      <c r="I14" s="10">
        <v>604</v>
      </c>
      <c r="J14" s="21">
        <f t="shared" si="2"/>
        <v>2782.779</v>
      </c>
      <c r="K14" s="4">
        <v>0.952224734</v>
      </c>
      <c r="L14" s="11">
        <f t="shared" si="3"/>
        <v>2649.8309930557857</v>
      </c>
      <c r="M14" s="6"/>
      <c r="N14" s="45"/>
      <c r="O14" s="56">
        <f>L14-L13</f>
        <v>114.06557254875906</v>
      </c>
    </row>
    <row r="15" spans="1:15" ht="13.5" thickBot="1">
      <c r="A15" s="48"/>
      <c r="B15" s="48"/>
      <c r="C15" s="48"/>
      <c r="D15" s="48"/>
      <c r="E15" s="48"/>
      <c r="F15" s="45"/>
      <c r="G15" s="45"/>
      <c r="H15" s="12"/>
      <c r="I15" s="5"/>
      <c r="J15" s="5"/>
      <c r="K15" s="5"/>
      <c r="L15" s="5"/>
      <c r="M15" s="13">
        <f>SUM(M4:M13)</f>
        <v>27</v>
      </c>
      <c r="N15" s="45"/>
      <c r="O15" s="45"/>
    </row>
    <row r="16" spans="1:15" ht="13.5" thickBo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13.5" thickBot="1">
      <c r="A17" s="78" t="s">
        <v>10</v>
      </c>
      <c r="B17" s="72"/>
      <c r="C17" s="72"/>
      <c r="D17" s="2"/>
      <c r="E17" s="3">
        <v>4.60725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2.75" customHeight="1">
      <c r="A18" s="74" t="s">
        <v>11</v>
      </c>
      <c r="B18" s="75"/>
      <c r="C18" s="75"/>
      <c r="D18" s="4"/>
      <c r="E18" s="57"/>
      <c r="F18" s="45"/>
      <c r="G18" s="60"/>
      <c r="H18" s="60"/>
      <c r="I18" s="60"/>
      <c r="J18" s="45"/>
      <c r="K18" s="45"/>
      <c r="L18" s="45"/>
      <c r="M18" s="45"/>
      <c r="N18" s="45"/>
      <c r="O18" s="45"/>
    </row>
    <row r="19" spans="1:15" ht="12.75" customHeight="1">
      <c r="A19" s="74" t="s">
        <v>12</v>
      </c>
      <c r="B19" s="75"/>
      <c r="C19" s="75"/>
      <c r="D19" s="4"/>
      <c r="E19" s="58"/>
      <c r="F19" s="45"/>
      <c r="G19" s="88" t="s">
        <v>31</v>
      </c>
      <c r="H19" s="88"/>
      <c r="I19" s="88"/>
      <c r="J19" s="45"/>
      <c r="K19" s="45"/>
      <c r="L19" s="45"/>
      <c r="M19" s="45"/>
      <c r="N19" s="45"/>
      <c r="O19" s="45"/>
    </row>
    <row r="20" spans="1:15" ht="12.75">
      <c r="A20" s="74" t="s">
        <v>17</v>
      </c>
      <c r="B20" s="75"/>
      <c r="C20" s="75"/>
      <c r="D20" s="4"/>
      <c r="E20" s="58"/>
      <c r="F20" s="45"/>
      <c r="G20" s="88"/>
      <c r="H20" s="88"/>
      <c r="I20" s="88"/>
      <c r="J20" s="45"/>
      <c r="K20" s="45"/>
      <c r="L20" s="45"/>
      <c r="M20" s="45"/>
      <c r="N20" s="45"/>
      <c r="O20" s="45"/>
    </row>
    <row r="21" spans="1:15" ht="12.75">
      <c r="A21" s="74" t="s">
        <v>16</v>
      </c>
      <c r="B21" s="75"/>
      <c r="C21" s="75"/>
      <c r="D21" s="4"/>
      <c r="E21" s="58"/>
      <c r="F21" s="45"/>
      <c r="G21" s="60"/>
      <c r="H21" s="60"/>
      <c r="I21" s="60"/>
      <c r="J21" s="45"/>
      <c r="K21" s="45"/>
      <c r="L21" s="45"/>
      <c r="M21" s="45"/>
      <c r="N21" s="45"/>
      <c r="O21" s="45"/>
    </row>
    <row r="22" spans="1:15" ht="12.75">
      <c r="A22" s="74" t="s">
        <v>35</v>
      </c>
      <c r="B22" s="75"/>
      <c r="C22" s="75"/>
      <c r="D22" s="4"/>
      <c r="E22" s="58"/>
      <c r="F22" s="45"/>
      <c r="G22" s="60"/>
      <c r="H22" s="60"/>
      <c r="I22" s="60"/>
      <c r="J22" s="45"/>
      <c r="K22" s="45"/>
      <c r="L22" s="45"/>
      <c r="M22" s="45"/>
      <c r="N22" s="45"/>
      <c r="O22" s="45"/>
    </row>
    <row r="23" spans="1:15" ht="13.5" thickBot="1">
      <c r="A23" s="79" t="s">
        <v>30</v>
      </c>
      <c r="B23" s="80"/>
      <c r="C23" s="80"/>
      <c r="D23" s="5"/>
      <c r="E23" s="59">
        <v>41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5" ht="13.5" thickBot="1">
      <c r="A24" s="45"/>
      <c r="B24" s="77" t="s">
        <v>32</v>
      </c>
      <c r="C24" s="77"/>
      <c r="D24" s="77"/>
      <c r="E24" s="77"/>
      <c r="F24" s="77"/>
      <c r="G24" s="77"/>
      <c r="H24" s="77"/>
      <c r="I24" s="77" t="s">
        <v>33</v>
      </c>
      <c r="J24" s="77"/>
      <c r="K24" s="77"/>
      <c r="L24" s="77"/>
      <c r="M24" s="77"/>
      <c r="N24" s="77"/>
      <c r="O24" s="77"/>
    </row>
    <row r="25" spans="1:15" ht="15" customHeight="1">
      <c r="A25" s="18" t="s">
        <v>13</v>
      </c>
      <c r="B25" s="41" t="s">
        <v>14</v>
      </c>
      <c r="C25" s="42" t="s">
        <v>15</v>
      </c>
      <c r="D25" s="42"/>
      <c r="E25" s="43" t="s">
        <v>20</v>
      </c>
      <c r="F25" s="43" t="s">
        <v>19</v>
      </c>
      <c r="G25" s="43" t="s">
        <v>21</v>
      </c>
      <c r="H25" s="44" t="s">
        <v>19</v>
      </c>
      <c r="I25" s="41" t="str">
        <f>B25</f>
        <v>Age</v>
      </c>
      <c r="J25" s="42" t="str">
        <f>C25</f>
        <v>Ancienneté</v>
      </c>
      <c r="K25" s="42"/>
      <c r="L25" s="43" t="s">
        <v>20</v>
      </c>
      <c r="M25" s="43" t="s">
        <v>19</v>
      </c>
      <c r="N25" s="43" t="s">
        <v>21</v>
      </c>
      <c r="O25" s="44" t="s">
        <v>19</v>
      </c>
    </row>
    <row r="26" spans="1:15" ht="12.75">
      <c r="A26" s="19">
        <f>E19</f>
        <v>0</v>
      </c>
      <c r="B26" s="32">
        <f>E19-$E$18</f>
        <v>0</v>
      </c>
      <c r="C26" s="4">
        <f>A26-$E$19+$E$20+$E$21+$E$22</f>
        <v>0</v>
      </c>
      <c r="D26" s="14"/>
      <c r="E26" s="4"/>
      <c r="F26" s="14"/>
      <c r="G26" s="14"/>
      <c r="H26" s="6"/>
      <c r="I26" s="32">
        <f aca="true" t="shared" si="5" ref="I26:I39">B26</f>
        <v>0</v>
      </c>
      <c r="J26" s="4">
        <f aca="true" t="shared" si="6" ref="J26:J39">A26-$E$19+$E$20+$E$21+$E$22</f>
        <v>0</v>
      </c>
      <c r="K26" s="14"/>
      <c r="L26" s="14"/>
      <c r="M26" s="14"/>
      <c r="N26" s="14"/>
      <c r="O26" s="6"/>
    </row>
    <row r="27" spans="1:15" ht="12.75">
      <c r="A27" s="19">
        <f>A26+10</f>
        <v>10</v>
      </c>
      <c r="B27" s="32">
        <f aca="true" t="shared" si="7" ref="B27:B39">A27-$E$18</f>
        <v>10</v>
      </c>
      <c r="C27" s="4">
        <f>A27-$E$19+$E$20+$E$21+$E$22+1</f>
        <v>11</v>
      </c>
      <c r="D27" s="14"/>
      <c r="E27" s="4"/>
      <c r="F27" s="14"/>
      <c r="G27" s="14"/>
      <c r="H27" s="6"/>
      <c r="I27" s="32">
        <f t="shared" si="5"/>
        <v>10</v>
      </c>
      <c r="J27" s="4">
        <f t="shared" si="6"/>
        <v>10</v>
      </c>
      <c r="K27" s="14"/>
      <c r="L27" s="14"/>
      <c r="M27" s="14"/>
      <c r="N27" s="14"/>
      <c r="O27" s="6"/>
    </row>
    <row r="28" spans="1:15" ht="12.75">
      <c r="A28" s="19">
        <f>A26+20</f>
        <v>20</v>
      </c>
      <c r="B28" s="32">
        <f t="shared" si="7"/>
        <v>20</v>
      </c>
      <c r="C28" s="4">
        <f>A28-$E$19+$E$20+$E$21+$E$22+2</f>
        <v>22</v>
      </c>
      <c r="D28" s="14"/>
      <c r="E28" s="25">
        <f aca="true" t="shared" si="8" ref="E28:E39">IF(C28&gt;$E$23,"0",($E$23-C28)*0.08)</f>
        <v>1.52</v>
      </c>
      <c r="F28" s="31">
        <f aca="true" t="shared" si="9" ref="F28:F39">IF(E28="0","0",($E$11*0.75)*(1-E28))</f>
        <v>-822.9831059392961</v>
      </c>
      <c r="G28" s="25" t="str">
        <f aca="true" t="shared" si="10" ref="G28:G39">IF(C28&lt;$E$23,"0",(C28-$E$23)*0.02)</f>
        <v>0</v>
      </c>
      <c r="H28" s="30" t="str">
        <f aca="true" t="shared" si="11" ref="H28:H39">IF(G28="0","0",($E$11*0.75)*(1+G28))</f>
        <v>0</v>
      </c>
      <c r="I28" s="32">
        <f t="shared" si="5"/>
        <v>20</v>
      </c>
      <c r="J28" s="4">
        <f t="shared" si="6"/>
        <v>20</v>
      </c>
      <c r="K28" s="14"/>
      <c r="L28" s="25">
        <f aca="true" t="shared" si="12" ref="L28:L39">IF(J28&gt;$E$23,"0",($E$23-J28)*0.08)</f>
        <v>1.68</v>
      </c>
      <c r="M28" s="31">
        <f>IF(L28="0","0",($L$14*0.66)*(1-L28))</f>
        <v>-1189.2441496834367</v>
      </c>
      <c r="N28" s="25" t="str">
        <f aca="true" t="shared" si="13" ref="N28:N39">IF(J28&lt;$E$23,"0",(J28-$E$23)*0.02)</f>
        <v>0</v>
      </c>
      <c r="O28" s="30" t="str">
        <f>IF(N28="0","0",($L$14*0.66)*(1+N28))</f>
        <v>0</v>
      </c>
    </row>
    <row r="29" spans="1:15" ht="12.75">
      <c r="A29" s="19">
        <f>A26+30</f>
        <v>30</v>
      </c>
      <c r="B29" s="32">
        <f t="shared" si="7"/>
        <v>30</v>
      </c>
      <c r="C29" s="4">
        <f>A29-$E$19+$E$20+$E$21+$E$22+3</f>
        <v>33</v>
      </c>
      <c r="D29" s="14"/>
      <c r="E29" s="25">
        <f t="shared" si="8"/>
        <v>0.64</v>
      </c>
      <c r="F29" s="31">
        <f t="shared" si="9"/>
        <v>569.7575348810511</v>
      </c>
      <c r="G29" s="25" t="str">
        <f t="shared" si="10"/>
        <v>0</v>
      </c>
      <c r="H29" s="30" t="str">
        <f t="shared" si="11"/>
        <v>0</v>
      </c>
      <c r="I29" s="32">
        <f t="shared" si="5"/>
        <v>30</v>
      </c>
      <c r="J29" s="4">
        <f t="shared" si="6"/>
        <v>30</v>
      </c>
      <c r="K29" s="14"/>
      <c r="L29" s="25">
        <f t="shared" si="12"/>
        <v>0.88</v>
      </c>
      <c r="M29" s="31">
        <f aca="true" t="shared" si="14" ref="M29:M39">IF(L29="0","0",($L$14*0.66)*(1-L29))</f>
        <v>209.86661465001825</v>
      </c>
      <c r="N29" s="25" t="str">
        <f t="shared" si="13"/>
        <v>0</v>
      </c>
      <c r="O29" s="30" t="str">
        <f aca="true" t="shared" si="15" ref="O29:O39">IF(N29="0","0",($L$14*0.66)*(1+N29))</f>
        <v>0</v>
      </c>
    </row>
    <row r="30" spans="1:15" ht="12.75">
      <c r="A30" s="19">
        <f>A26+31</f>
        <v>31</v>
      </c>
      <c r="B30" s="32">
        <f t="shared" si="7"/>
        <v>31</v>
      </c>
      <c r="C30" s="4">
        <f>A30-$E$19+$E$20+$E$21+$E$22+3.1</f>
        <v>34.1</v>
      </c>
      <c r="D30" s="14"/>
      <c r="E30" s="25">
        <f t="shared" si="8"/>
        <v>0.5519999999999999</v>
      </c>
      <c r="F30" s="31">
        <f t="shared" si="9"/>
        <v>709.031598963086</v>
      </c>
      <c r="G30" s="25" t="str">
        <f t="shared" si="10"/>
        <v>0</v>
      </c>
      <c r="H30" s="30" t="str">
        <f t="shared" si="11"/>
        <v>0</v>
      </c>
      <c r="I30" s="32">
        <f t="shared" si="5"/>
        <v>31</v>
      </c>
      <c r="J30" s="4">
        <f t="shared" si="6"/>
        <v>31</v>
      </c>
      <c r="K30" s="14"/>
      <c r="L30" s="25">
        <f t="shared" si="12"/>
        <v>0.8</v>
      </c>
      <c r="M30" s="31">
        <f t="shared" si="14"/>
        <v>349.77769108336366</v>
      </c>
      <c r="N30" s="25" t="str">
        <f t="shared" si="13"/>
        <v>0</v>
      </c>
      <c r="O30" s="30" t="str">
        <f t="shared" si="15"/>
        <v>0</v>
      </c>
    </row>
    <row r="31" spans="1:15" ht="12.75">
      <c r="A31" s="19">
        <f>A26+32</f>
        <v>32</v>
      </c>
      <c r="B31" s="32">
        <f t="shared" si="7"/>
        <v>32</v>
      </c>
      <c r="C31" s="4">
        <f>A31-$E$19+$E$20+$E$21+$E$22+3.2</f>
        <v>35.2</v>
      </c>
      <c r="D31" s="14"/>
      <c r="E31" s="25">
        <f>IF(C31&gt;$E$23,"0",($E$23-C31)*0.08)</f>
        <v>0.4639999999999998</v>
      </c>
      <c r="F31" s="31">
        <f t="shared" si="9"/>
        <v>848.305663045121</v>
      </c>
      <c r="G31" s="25" t="str">
        <f t="shared" si="10"/>
        <v>0</v>
      </c>
      <c r="H31" s="30" t="str">
        <f t="shared" si="11"/>
        <v>0</v>
      </c>
      <c r="I31" s="32">
        <f t="shared" si="5"/>
        <v>32</v>
      </c>
      <c r="J31" s="4">
        <f t="shared" si="6"/>
        <v>32</v>
      </c>
      <c r="K31" s="14"/>
      <c r="L31" s="25">
        <f t="shared" si="12"/>
        <v>0.72</v>
      </c>
      <c r="M31" s="31">
        <f t="shared" si="14"/>
        <v>489.6887675167093</v>
      </c>
      <c r="N31" s="25" t="str">
        <f t="shared" si="13"/>
        <v>0</v>
      </c>
      <c r="O31" s="30" t="str">
        <f t="shared" si="15"/>
        <v>0</v>
      </c>
    </row>
    <row r="32" spans="1:15" ht="12.75">
      <c r="A32" s="19">
        <f>A26+33</f>
        <v>33</v>
      </c>
      <c r="B32" s="32">
        <f t="shared" si="7"/>
        <v>33</v>
      </c>
      <c r="C32" s="4">
        <f>A32-$E$19+$E$20+$E$21+$E$22+3.3</f>
        <v>36.3</v>
      </c>
      <c r="D32" s="14"/>
      <c r="E32" s="25">
        <f t="shared" si="8"/>
        <v>0.3760000000000002</v>
      </c>
      <c r="F32" s="31">
        <f t="shared" si="9"/>
        <v>987.579727127155</v>
      </c>
      <c r="G32" s="25" t="str">
        <f t="shared" si="10"/>
        <v>0</v>
      </c>
      <c r="H32" s="30" t="str">
        <f t="shared" si="11"/>
        <v>0</v>
      </c>
      <c r="I32" s="32">
        <f t="shared" si="5"/>
        <v>33</v>
      </c>
      <c r="J32" s="4">
        <f t="shared" si="6"/>
        <v>33</v>
      </c>
      <c r="K32" s="14"/>
      <c r="L32" s="25">
        <f t="shared" si="12"/>
        <v>0.64</v>
      </c>
      <c r="M32" s="31">
        <f t="shared" si="14"/>
        <v>629.5998439500547</v>
      </c>
      <c r="N32" s="25" t="str">
        <f t="shared" si="13"/>
        <v>0</v>
      </c>
      <c r="O32" s="30" t="str">
        <f t="shared" si="15"/>
        <v>0</v>
      </c>
    </row>
    <row r="33" spans="1:15" ht="12.75">
      <c r="A33" s="19">
        <f>A26+34</f>
        <v>34</v>
      </c>
      <c r="B33" s="32">
        <f t="shared" si="7"/>
        <v>34</v>
      </c>
      <c r="C33" s="4">
        <f>A33-$E$19+$E$20+$E$21+$E$22+3.4</f>
        <v>37.4</v>
      </c>
      <c r="D33" s="14"/>
      <c r="E33" s="25">
        <f t="shared" si="8"/>
        <v>0.28800000000000014</v>
      </c>
      <c r="F33" s="31">
        <f t="shared" si="9"/>
        <v>1126.85379120919</v>
      </c>
      <c r="G33" s="25" t="str">
        <f t="shared" si="10"/>
        <v>0</v>
      </c>
      <c r="H33" s="30" t="str">
        <f t="shared" si="11"/>
        <v>0</v>
      </c>
      <c r="I33" s="32">
        <f t="shared" si="5"/>
        <v>34</v>
      </c>
      <c r="J33" s="4">
        <f t="shared" si="6"/>
        <v>34</v>
      </c>
      <c r="K33" s="14"/>
      <c r="L33" s="25">
        <f t="shared" si="12"/>
        <v>0.56</v>
      </c>
      <c r="M33" s="31">
        <f t="shared" si="14"/>
        <v>769.5109203834002</v>
      </c>
      <c r="N33" s="25" t="str">
        <f t="shared" si="13"/>
        <v>0</v>
      </c>
      <c r="O33" s="30" t="str">
        <f t="shared" si="15"/>
        <v>0</v>
      </c>
    </row>
    <row r="34" spans="1:15" ht="12.75">
      <c r="A34" s="19">
        <f>A26+35</f>
        <v>35</v>
      </c>
      <c r="B34" s="37">
        <f t="shared" si="7"/>
        <v>35</v>
      </c>
      <c r="C34" s="27">
        <f>A34-$E$19+$E$20+$E$21+$E$22+3.5</f>
        <v>38.5</v>
      </c>
      <c r="D34" s="28"/>
      <c r="E34" s="29">
        <f t="shared" si="8"/>
        <v>0.2</v>
      </c>
      <c r="F34" s="31">
        <f t="shared" si="9"/>
        <v>1266.127855291225</v>
      </c>
      <c r="G34" s="29" t="str">
        <f t="shared" si="10"/>
        <v>0</v>
      </c>
      <c r="H34" s="30" t="str">
        <f t="shared" si="11"/>
        <v>0</v>
      </c>
      <c r="I34" s="37">
        <f t="shared" si="5"/>
        <v>35</v>
      </c>
      <c r="J34" s="27">
        <f t="shared" si="6"/>
        <v>35</v>
      </c>
      <c r="K34" s="28"/>
      <c r="L34" s="29">
        <f t="shared" si="12"/>
        <v>0.48</v>
      </c>
      <c r="M34" s="31">
        <f t="shared" si="14"/>
        <v>909.4219968167457</v>
      </c>
      <c r="N34" s="29" t="str">
        <f t="shared" si="13"/>
        <v>0</v>
      </c>
      <c r="O34" s="30" t="str">
        <f t="shared" si="15"/>
        <v>0</v>
      </c>
    </row>
    <row r="35" spans="1:15" ht="12.75">
      <c r="A35" s="19">
        <f>A26+36</f>
        <v>36</v>
      </c>
      <c r="B35" s="32">
        <f t="shared" si="7"/>
        <v>36</v>
      </c>
      <c r="C35" s="4">
        <f>A35-$E$19+$E$20+$E$21+$E$22+3.6</f>
        <v>39.6</v>
      </c>
      <c r="D35" s="14"/>
      <c r="E35" s="25">
        <f t="shared" si="8"/>
        <v>0.11199999999999989</v>
      </c>
      <c r="F35" s="31">
        <f t="shared" si="9"/>
        <v>1405.4019193732597</v>
      </c>
      <c r="G35" s="25" t="str">
        <f t="shared" si="10"/>
        <v>0</v>
      </c>
      <c r="H35" s="30" t="str">
        <f t="shared" si="11"/>
        <v>0</v>
      </c>
      <c r="I35" s="32">
        <f t="shared" si="5"/>
        <v>36</v>
      </c>
      <c r="J35" s="4">
        <f t="shared" si="6"/>
        <v>36</v>
      </c>
      <c r="K35" s="14"/>
      <c r="L35" s="25">
        <f t="shared" si="12"/>
        <v>0.4</v>
      </c>
      <c r="M35" s="31">
        <f t="shared" si="14"/>
        <v>1049.3330732500913</v>
      </c>
      <c r="N35" s="25" t="str">
        <f t="shared" si="13"/>
        <v>0</v>
      </c>
      <c r="O35" s="30" t="str">
        <f t="shared" si="15"/>
        <v>0</v>
      </c>
    </row>
    <row r="36" spans="1:15" ht="12.75">
      <c r="A36" s="19">
        <f>A26+37</f>
        <v>37</v>
      </c>
      <c r="B36" s="32">
        <f t="shared" si="7"/>
        <v>37</v>
      </c>
      <c r="C36" s="4">
        <f>A36-$E$19+$E$20+$E$21+$E$22+3.7</f>
        <v>40.7</v>
      </c>
      <c r="D36" s="14"/>
      <c r="E36" s="25">
        <f t="shared" si="8"/>
        <v>0.02399999999999977</v>
      </c>
      <c r="F36" s="31">
        <f t="shared" si="9"/>
        <v>1544.6759834552947</v>
      </c>
      <c r="G36" s="25" t="str">
        <f t="shared" si="10"/>
        <v>0</v>
      </c>
      <c r="H36" s="30" t="str">
        <f t="shared" si="11"/>
        <v>0</v>
      </c>
      <c r="I36" s="32">
        <f t="shared" si="5"/>
        <v>37</v>
      </c>
      <c r="J36" s="4">
        <f t="shared" si="6"/>
        <v>37</v>
      </c>
      <c r="K36" s="14"/>
      <c r="L36" s="25">
        <f t="shared" si="12"/>
        <v>0.32</v>
      </c>
      <c r="M36" s="31">
        <f t="shared" si="14"/>
        <v>1189.2441496834367</v>
      </c>
      <c r="N36" s="25" t="str">
        <f t="shared" si="13"/>
        <v>0</v>
      </c>
      <c r="O36" s="30" t="str">
        <f t="shared" si="15"/>
        <v>0</v>
      </c>
    </row>
    <row r="37" spans="1:15" ht="12.75">
      <c r="A37" s="19">
        <f>A26+38</f>
        <v>38</v>
      </c>
      <c r="B37" s="32">
        <f t="shared" si="7"/>
        <v>38</v>
      </c>
      <c r="C37" s="4">
        <f>A37-$E$19+$E$20+$E$21+$E$22+3.8</f>
        <v>41.8</v>
      </c>
      <c r="D37" s="14"/>
      <c r="E37" s="25" t="str">
        <f t="shared" si="8"/>
        <v>0</v>
      </c>
      <c r="F37" s="31" t="str">
        <f t="shared" si="9"/>
        <v>0</v>
      </c>
      <c r="G37" s="25">
        <f t="shared" si="10"/>
        <v>0.015999999999999945</v>
      </c>
      <c r="H37" s="30">
        <f t="shared" si="11"/>
        <v>1607.9823762198555</v>
      </c>
      <c r="I37" s="32">
        <f t="shared" si="5"/>
        <v>38</v>
      </c>
      <c r="J37" s="4">
        <f t="shared" si="6"/>
        <v>38</v>
      </c>
      <c r="K37" s="14"/>
      <c r="L37" s="25">
        <f t="shared" si="12"/>
        <v>0.24</v>
      </c>
      <c r="M37" s="31">
        <f t="shared" si="14"/>
        <v>1329.1552261167822</v>
      </c>
      <c r="N37" s="25" t="str">
        <f t="shared" si="13"/>
        <v>0</v>
      </c>
      <c r="O37" s="30" t="str">
        <f t="shared" si="15"/>
        <v>0</v>
      </c>
    </row>
    <row r="38" spans="1:15" ht="12.75">
      <c r="A38" s="19">
        <f>A26+39</f>
        <v>39</v>
      </c>
      <c r="B38" s="32">
        <f t="shared" si="7"/>
        <v>39</v>
      </c>
      <c r="C38" s="4">
        <f>A38-$E$19+$E$20+$E$21+$E$22+3.9</f>
        <v>42.9</v>
      </c>
      <c r="D38" s="14"/>
      <c r="E38" s="25" t="str">
        <f t="shared" si="8"/>
        <v>0</v>
      </c>
      <c r="F38" s="31" t="str">
        <f t="shared" si="9"/>
        <v>0</v>
      </c>
      <c r="G38" s="25">
        <f t="shared" si="10"/>
        <v>0.03799999999999997</v>
      </c>
      <c r="H38" s="30">
        <f t="shared" si="11"/>
        <v>1642.8008922403642</v>
      </c>
      <c r="I38" s="32">
        <f t="shared" si="5"/>
        <v>39</v>
      </c>
      <c r="J38" s="4">
        <f t="shared" si="6"/>
        <v>39</v>
      </c>
      <c r="K38" s="14"/>
      <c r="L38" s="25">
        <f t="shared" si="12"/>
        <v>0.16</v>
      </c>
      <c r="M38" s="31">
        <f t="shared" si="14"/>
        <v>1469.0663025501276</v>
      </c>
      <c r="N38" s="25" t="str">
        <f t="shared" si="13"/>
        <v>0</v>
      </c>
      <c r="O38" s="30" t="str">
        <f t="shared" si="15"/>
        <v>0</v>
      </c>
    </row>
    <row r="39" spans="1:15" ht="13.5" thickBot="1">
      <c r="A39" s="20">
        <f>A26+40</f>
        <v>40</v>
      </c>
      <c r="B39" s="33">
        <f t="shared" si="7"/>
        <v>40</v>
      </c>
      <c r="C39" s="5">
        <f>A39-$E$19+$E$20+$E$21+$E$22+4</f>
        <v>44</v>
      </c>
      <c r="D39" s="16"/>
      <c r="E39" s="26" t="str">
        <f t="shared" si="8"/>
        <v>0</v>
      </c>
      <c r="F39" s="34" t="str">
        <f t="shared" si="9"/>
        <v>0</v>
      </c>
      <c r="G39" s="26">
        <f t="shared" si="10"/>
        <v>0.06</v>
      </c>
      <c r="H39" s="35">
        <f t="shared" si="11"/>
        <v>1677.619408260873</v>
      </c>
      <c r="I39" s="33">
        <f t="shared" si="5"/>
        <v>40</v>
      </c>
      <c r="J39" s="5">
        <f t="shared" si="6"/>
        <v>40</v>
      </c>
      <c r="K39" s="16"/>
      <c r="L39" s="26">
        <f t="shared" si="12"/>
        <v>0.08</v>
      </c>
      <c r="M39" s="34">
        <f t="shared" si="14"/>
        <v>1608.9773789834733</v>
      </c>
      <c r="N39" s="26" t="str">
        <f t="shared" si="13"/>
        <v>0</v>
      </c>
      <c r="O39" s="35" t="str">
        <f t="shared" si="15"/>
        <v>0</v>
      </c>
    </row>
    <row r="40" spans="1:15" ht="12.75">
      <c r="A40" s="48"/>
      <c r="B40" s="48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2.75">
      <c r="A41" s="49" t="s">
        <v>34</v>
      </c>
      <c r="B41" s="48"/>
      <c r="C41" s="45"/>
      <c r="D41" s="45"/>
      <c r="E41" s="45"/>
      <c r="F41" s="45"/>
      <c r="G41" s="45"/>
      <c r="H41" s="45"/>
      <c r="I41" s="50" t="s">
        <v>25</v>
      </c>
      <c r="J41" s="45"/>
      <c r="K41" s="45"/>
      <c r="L41" s="45"/>
      <c r="M41" s="45"/>
      <c r="N41" s="45"/>
      <c r="O41" s="45"/>
    </row>
    <row r="42" spans="1:15" ht="12.75">
      <c r="A42" s="49" t="s">
        <v>5</v>
      </c>
      <c r="B42" s="48"/>
      <c r="C42" s="45"/>
      <c r="D42" s="45"/>
      <c r="E42" s="45"/>
      <c r="F42" s="45"/>
      <c r="G42" s="45"/>
      <c r="H42" s="45"/>
      <c r="I42" s="49" t="s">
        <v>7</v>
      </c>
      <c r="J42" s="45"/>
      <c r="K42" s="45"/>
      <c r="L42" s="45"/>
      <c r="M42" s="45"/>
      <c r="N42" s="45"/>
      <c r="O42" s="45"/>
    </row>
    <row r="43" spans="1:15" ht="12.75">
      <c r="A43" s="49" t="s">
        <v>6</v>
      </c>
      <c r="B43" s="45"/>
      <c r="C43" s="45"/>
      <c r="D43" s="45"/>
      <c r="E43" s="45"/>
      <c r="F43" s="45"/>
      <c r="G43" s="45"/>
      <c r="H43" s="45"/>
      <c r="I43" s="50" t="s">
        <v>22</v>
      </c>
      <c r="J43" s="45"/>
      <c r="K43" s="45"/>
      <c r="L43" s="45"/>
      <c r="M43" s="45"/>
      <c r="N43" s="45"/>
      <c r="O43" s="45"/>
    </row>
    <row r="44" spans="1:15" ht="12.75">
      <c r="A44" s="50" t="s">
        <v>27</v>
      </c>
      <c r="B44" s="45"/>
      <c r="C44" s="45"/>
      <c r="D44" s="45"/>
      <c r="E44" s="45"/>
      <c r="F44" s="56">
        <f>E11*0.75</f>
        <v>1582.659819114031</v>
      </c>
      <c r="G44" s="45"/>
      <c r="H44" s="45"/>
      <c r="I44" s="50" t="s">
        <v>26</v>
      </c>
      <c r="J44" s="45"/>
      <c r="K44" s="45"/>
      <c r="L44" s="45"/>
      <c r="M44" s="45"/>
      <c r="N44" s="56">
        <f>L14*0.66</f>
        <v>1748.8884554168187</v>
      </c>
      <c r="O44" s="45"/>
    </row>
    <row r="45" spans="1:15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</sheetData>
  <sheetProtection password="DDE3" sheet="1" objects="1" scenarios="1" selectLockedCells="1"/>
  <protectedRanges>
    <protectedRange password="DDE3" sqref="E18:E23" name="Plage1"/>
  </protectedRanges>
  <mergeCells count="12">
    <mergeCell ref="I24:O24"/>
    <mergeCell ref="A1:F2"/>
    <mergeCell ref="H1:M2"/>
    <mergeCell ref="A17:C17"/>
    <mergeCell ref="A18:C18"/>
    <mergeCell ref="A19:C19"/>
    <mergeCell ref="G19:I20"/>
    <mergeCell ref="A20:C20"/>
    <mergeCell ref="A21:C21"/>
    <mergeCell ref="A22:C22"/>
    <mergeCell ref="A23:C23"/>
    <mergeCell ref="B24:H24"/>
  </mergeCells>
  <printOptions horizontalCentered="1" verticalCentered="1"/>
  <pageMargins left="0.4330708661417323" right="0.4330708661417323" top="0.35433070866141736" bottom="0.35433070866141736" header="0" footer="0"/>
  <pageSetup fitToHeight="1" fitToWidth="1" horizontalDpi="300" verticalDpi="3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5"/>
  <sheetViews>
    <sheetView showGridLines="0" zoomScalePageLayoutView="0" workbookViewId="0" topLeftCell="A1">
      <selection activeCell="E21" sqref="E21"/>
    </sheetView>
  </sheetViews>
  <sheetFormatPr defaultColWidth="11.421875" defaultRowHeight="12.75"/>
  <cols>
    <col min="1" max="3" width="11.421875" style="1" customWidth="1"/>
    <col min="4" max="4" width="11.421875" style="1" hidden="1" customWidth="1"/>
    <col min="5" max="10" width="11.421875" style="1" customWidth="1"/>
    <col min="11" max="11" width="11.421875" style="1" hidden="1" customWidth="1"/>
    <col min="12" max="16384" width="11.421875" style="1" customWidth="1"/>
  </cols>
  <sheetData>
    <row r="1" spans="1:15" ht="15" customHeight="1">
      <c r="A1" s="71" t="s">
        <v>37</v>
      </c>
      <c r="B1" s="72"/>
      <c r="C1" s="72"/>
      <c r="D1" s="72"/>
      <c r="E1" s="72"/>
      <c r="F1" s="73"/>
      <c r="G1" s="45"/>
      <c r="H1" s="71" t="s">
        <v>36</v>
      </c>
      <c r="I1" s="83"/>
      <c r="J1" s="83"/>
      <c r="K1" s="83"/>
      <c r="L1" s="83"/>
      <c r="M1" s="84"/>
      <c r="N1" s="45"/>
      <c r="O1" s="45"/>
    </row>
    <row r="2" spans="1:15" ht="12.75">
      <c r="A2" s="74"/>
      <c r="B2" s="75"/>
      <c r="C2" s="75"/>
      <c r="D2" s="75"/>
      <c r="E2" s="75"/>
      <c r="F2" s="76"/>
      <c r="G2" s="45"/>
      <c r="H2" s="85"/>
      <c r="I2" s="86"/>
      <c r="J2" s="86"/>
      <c r="K2" s="86"/>
      <c r="L2" s="86"/>
      <c r="M2" s="87"/>
      <c r="N2" s="45"/>
      <c r="O2" s="45"/>
    </row>
    <row r="3" spans="1:15" ht="12.75">
      <c r="A3" s="38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40" t="s">
        <v>9</v>
      </c>
      <c r="G3" s="45"/>
      <c r="H3" s="38" t="s">
        <v>0</v>
      </c>
      <c r="I3" s="39" t="s">
        <v>1</v>
      </c>
      <c r="J3" s="39" t="s">
        <v>2</v>
      </c>
      <c r="K3" s="39" t="s">
        <v>3</v>
      </c>
      <c r="L3" s="39" t="s">
        <v>4</v>
      </c>
      <c r="M3" s="40" t="s">
        <v>9</v>
      </c>
      <c r="N3" s="45"/>
      <c r="O3" s="55" t="s">
        <v>23</v>
      </c>
    </row>
    <row r="4" spans="1:15" ht="12.75">
      <c r="A4" s="7">
        <v>1</v>
      </c>
      <c r="B4" s="4">
        <v>380</v>
      </c>
      <c r="C4" s="21">
        <f aca="true" t="shared" si="0" ref="C4:C10">B4*$E$17</f>
        <v>1750.7549999999999</v>
      </c>
      <c r="D4" s="4">
        <v>0.952224734</v>
      </c>
      <c r="E4" s="21">
        <f aca="true" t="shared" si="1" ref="E4:E10">C4*D4</f>
        <v>1667.1122141741698</v>
      </c>
      <c r="F4" s="8">
        <v>1</v>
      </c>
      <c r="G4" s="45"/>
      <c r="H4" s="7">
        <v>1</v>
      </c>
      <c r="I4" s="4">
        <v>443</v>
      </c>
      <c r="J4" s="21">
        <f aca="true" t="shared" si="2" ref="J4:J14">I4*$E$17</f>
        <v>2041.01175</v>
      </c>
      <c r="K4" s="4">
        <v>0.952224734</v>
      </c>
      <c r="L4" s="21">
        <f aca="true" t="shared" si="3" ref="L4:L14">J4*K4</f>
        <v>1943.5018707346244</v>
      </c>
      <c r="M4" s="8">
        <v>1</v>
      </c>
      <c r="N4" s="45"/>
      <c r="O4" s="56">
        <f aca="true" t="shared" si="4" ref="O4:O11">L4-E4</f>
        <v>276.38965656045457</v>
      </c>
    </row>
    <row r="5" spans="1:15" ht="12.75">
      <c r="A5" s="7">
        <v>2</v>
      </c>
      <c r="B5" s="4">
        <v>416</v>
      </c>
      <c r="C5" s="21">
        <f t="shared" si="0"/>
        <v>1916.6159999999998</v>
      </c>
      <c r="D5" s="4">
        <v>0.952224734</v>
      </c>
      <c r="E5" s="21">
        <f t="shared" si="1"/>
        <v>1825.0491607801437</v>
      </c>
      <c r="F5" s="8">
        <v>2</v>
      </c>
      <c r="G5" s="45"/>
      <c r="H5" s="7">
        <v>2</v>
      </c>
      <c r="I5" s="4">
        <v>451</v>
      </c>
      <c r="J5" s="21">
        <f t="shared" si="2"/>
        <v>2077.86975</v>
      </c>
      <c r="K5" s="4">
        <v>0.952224734</v>
      </c>
      <c r="L5" s="21">
        <f t="shared" si="3"/>
        <v>1978.5989699803963</v>
      </c>
      <c r="M5" s="8">
        <v>2</v>
      </c>
      <c r="N5" s="45"/>
      <c r="O5" s="56">
        <f t="shared" si="4"/>
        <v>153.54980920025264</v>
      </c>
    </row>
    <row r="6" spans="1:15" ht="12.75">
      <c r="A6" s="7">
        <v>3</v>
      </c>
      <c r="B6" s="4">
        <v>446</v>
      </c>
      <c r="C6" s="21">
        <f t="shared" si="0"/>
        <v>2054.8334999999997</v>
      </c>
      <c r="D6" s="4">
        <v>0.952224734</v>
      </c>
      <c r="E6" s="21">
        <f t="shared" si="1"/>
        <v>1956.6632829517887</v>
      </c>
      <c r="F6" s="8">
        <v>2</v>
      </c>
      <c r="G6" s="45"/>
      <c r="H6" s="7">
        <v>3</v>
      </c>
      <c r="I6" s="4">
        <v>473</v>
      </c>
      <c r="J6" s="21">
        <f t="shared" si="2"/>
        <v>2179.22925</v>
      </c>
      <c r="K6" s="4">
        <v>0.952224734</v>
      </c>
      <c r="L6" s="21">
        <f t="shared" si="3"/>
        <v>2075.115992906269</v>
      </c>
      <c r="M6" s="8">
        <v>2</v>
      </c>
      <c r="N6" s="45"/>
      <c r="O6" s="56">
        <f t="shared" si="4"/>
        <v>118.4527099544805</v>
      </c>
    </row>
    <row r="7" spans="1:15" ht="12.75">
      <c r="A7" s="7">
        <v>4</v>
      </c>
      <c r="B7" s="4">
        <v>473</v>
      </c>
      <c r="C7" s="21">
        <f t="shared" si="0"/>
        <v>2179.22925</v>
      </c>
      <c r="D7" s="4">
        <v>0.952224734</v>
      </c>
      <c r="E7" s="21">
        <f t="shared" si="1"/>
        <v>2075.115992906269</v>
      </c>
      <c r="F7" s="8">
        <v>3</v>
      </c>
      <c r="G7" s="45"/>
      <c r="H7" s="7">
        <v>4</v>
      </c>
      <c r="I7" s="4">
        <v>493</v>
      </c>
      <c r="J7" s="21">
        <f t="shared" si="2"/>
        <v>2271.37425</v>
      </c>
      <c r="K7" s="4">
        <v>0.952224734</v>
      </c>
      <c r="L7" s="21">
        <f t="shared" si="3"/>
        <v>2162.858741020699</v>
      </c>
      <c r="M7" s="8">
        <v>2</v>
      </c>
      <c r="N7" s="45"/>
      <c r="O7" s="56">
        <f t="shared" si="4"/>
        <v>87.74274811443001</v>
      </c>
    </row>
    <row r="8" spans="1:15" ht="12.75">
      <c r="A8" s="7">
        <v>5</v>
      </c>
      <c r="B8" s="4">
        <v>497</v>
      </c>
      <c r="C8" s="21">
        <f t="shared" si="0"/>
        <v>2289.80325</v>
      </c>
      <c r="D8" s="4">
        <v>0.952224734</v>
      </c>
      <c r="E8" s="21">
        <f t="shared" si="1"/>
        <v>2180.4072906435854</v>
      </c>
      <c r="F8" s="8">
        <v>3</v>
      </c>
      <c r="G8" s="45"/>
      <c r="H8" s="7">
        <v>5</v>
      </c>
      <c r="I8" s="4">
        <v>518</v>
      </c>
      <c r="J8" s="21">
        <f t="shared" si="2"/>
        <v>2386.5555</v>
      </c>
      <c r="K8" s="4">
        <v>0.952224734</v>
      </c>
      <c r="L8" s="21">
        <f t="shared" si="3"/>
        <v>2272.537176163737</v>
      </c>
      <c r="M8" s="8">
        <v>3</v>
      </c>
      <c r="N8" s="45"/>
      <c r="O8" s="56">
        <f t="shared" si="4"/>
        <v>92.12988552015167</v>
      </c>
    </row>
    <row r="9" spans="1:15" ht="12.75">
      <c r="A9" s="7">
        <v>6</v>
      </c>
      <c r="B9" s="4">
        <v>526</v>
      </c>
      <c r="C9" s="21">
        <f t="shared" si="0"/>
        <v>2423.4134999999997</v>
      </c>
      <c r="D9" s="4">
        <v>0.952224734</v>
      </c>
      <c r="E9" s="21">
        <f t="shared" si="1"/>
        <v>2307.6342754095085</v>
      </c>
      <c r="F9" s="8">
        <v>4</v>
      </c>
      <c r="G9" s="45"/>
      <c r="H9" s="7">
        <v>6</v>
      </c>
      <c r="I9" s="4">
        <v>542</v>
      </c>
      <c r="J9" s="21">
        <f t="shared" si="2"/>
        <v>2497.1295</v>
      </c>
      <c r="K9" s="4">
        <v>0.952224734</v>
      </c>
      <c r="L9" s="21">
        <f t="shared" si="3"/>
        <v>2377.828473901053</v>
      </c>
      <c r="M9" s="8">
        <v>3</v>
      </c>
      <c r="N9" s="45"/>
      <c r="O9" s="56">
        <f t="shared" si="4"/>
        <v>70.19419849154428</v>
      </c>
    </row>
    <row r="10" spans="1:15" ht="12.75">
      <c r="A10" s="7">
        <v>7</v>
      </c>
      <c r="B10" s="4">
        <v>554</v>
      </c>
      <c r="C10" s="21">
        <f t="shared" si="0"/>
        <v>2552.4165</v>
      </c>
      <c r="D10" s="4">
        <v>0.952224734</v>
      </c>
      <c r="E10" s="21">
        <f t="shared" si="1"/>
        <v>2430.474122769711</v>
      </c>
      <c r="F10" s="8">
        <v>4</v>
      </c>
      <c r="G10" s="45"/>
      <c r="H10" s="7">
        <v>7</v>
      </c>
      <c r="I10" s="4">
        <v>567</v>
      </c>
      <c r="J10" s="21">
        <f t="shared" si="2"/>
        <v>2612.3107499999996</v>
      </c>
      <c r="K10" s="4">
        <v>0.952224734</v>
      </c>
      <c r="L10" s="21">
        <f t="shared" si="3"/>
        <v>2487.50690904409</v>
      </c>
      <c r="M10" s="8">
        <v>3</v>
      </c>
      <c r="N10" s="45"/>
      <c r="O10" s="56">
        <f t="shared" si="4"/>
        <v>57.032786274379305</v>
      </c>
    </row>
    <row r="11" spans="1:15" ht="12.75">
      <c r="A11" s="7">
        <v>8</v>
      </c>
      <c r="B11" s="10">
        <v>611</v>
      </c>
      <c r="C11" s="21">
        <f>B11*$E$17</f>
        <v>2815.0297499999997</v>
      </c>
      <c r="D11" s="4">
        <v>0.952224734</v>
      </c>
      <c r="E11" s="11">
        <f>C11*D11</f>
        <v>2680.540954895836</v>
      </c>
      <c r="F11" s="6"/>
      <c r="G11" s="45"/>
      <c r="H11" s="7">
        <v>8</v>
      </c>
      <c r="I11" s="4">
        <v>590</v>
      </c>
      <c r="J11" s="21">
        <f t="shared" si="2"/>
        <v>2718.2774999999997</v>
      </c>
      <c r="K11" s="4">
        <v>0.952224734</v>
      </c>
      <c r="L11" s="21">
        <f t="shared" si="3"/>
        <v>2588.4110693756847</v>
      </c>
      <c r="M11" s="8">
        <v>3</v>
      </c>
      <c r="N11" s="45"/>
      <c r="O11" s="56">
        <f t="shared" si="4"/>
        <v>-92.12988552015122</v>
      </c>
    </row>
    <row r="12" spans="1:15" ht="13.5" thickBot="1">
      <c r="A12" s="12"/>
      <c r="B12" s="22"/>
      <c r="C12" s="23"/>
      <c r="D12" s="5"/>
      <c r="E12" s="24"/>
      <c r="F12" s="13">
        <f>SUM(F4:F11)</f>
        <v>19</v>
      </c>
      <c r="G12" s="45"/>
      <c r="H12" s="7">
        <v>9</v>
      </c>
      <c r="I12" s="4">
        <v>613</v>
      </c>
      <c r="J12" s="21">
        <f t="shared" si="2"/>
        <v>2824.2442499999997</v>
      </c>
      <c r="K12" s="4">
        <v>0.952224734</v>
      </c>
      <c r="L12" s="21">
        <f t="shared" si="3"/>
        <v>2689.3152297072793</v>
      </c>
      <c r="M12" s="8">
        <v>3</v>
      </c>
      <c r="N12" s="45"/>
      <c r="O12" s="56">
        <f>L12-L11</f>
        <v>100.90416033159454</v>
      </c>
    </row>
    <row r="13" spans="1:15" ht="12.75">
      <c r="A13" s="48"/>
      <c r="B13" s="51"/>
      <c r="C13" s="52"/>
      <c r="D13" s="48"/>
      <c r="E13" s="53"/>
      <c r="F13" s="54"/>
      <c r="G13" s="45"/>
      <c r="H13" s="7">
        <v>10</v>
      </c>
      <c r="I13" s="4">
        <v>636</v>
      </c>
      <c r="J13" s="21">
        <f t="shared" si="2"/>
        <v>2930.211</v>
      </c>
      <c r="K13" s="4">
        <v>0.952224734</v>
      </c>
      <c r="L13" s="21">
        <f t="shared" si="3"/>
        <v>2790.219390038874</v>
      </c>
      <c r="M13" s="8">
        <v>3</v>
      </c>
      <c r="N13" s="45"/>
      <c r="O13" s="56">
        <f>L13-L12</f>
        <v>100.90416033159454</v>
      </c>
    </row>
    <row r="14" spans="1:15" ht="12.75">
      <c r="A14" s="48"/>
      <c r="B14" s="51"/>
      <c r="C14" s="52"/>
      <c r="D14" s="48"/>
      <c r="E14" s="53"/>
      <c r="F14" s="54"/>
      <c r="G14" s="45"/>
      <c r="H14" s="7">
        <v>11</v>
      </c>
      <c r="I14" s="10">
        <v>658</v>
      </c>
      <c r="J14" s="21">
        <f t="shared" si="2"/>
        <v>3031.5705</v>
      </c>
      <c r="K14" s="4">
        <v>0.952224734</v>
      </c>
      <c r="L14" s="11">
        <f t="shared" si="3"/>
        <v>2886.7364129647467</v>
      </c>
      <c r="M14" s="6"/>
      <c r="N14" s="45"/>
      <c r="O14" s="56">
        <f>L14-L13</f>
        <v>96.51702292587288</v>
      </c>
    </row>
    <row r="15" spans="1:15" ht="13.5" thickBot="1">
      <c r="A15" s="48"/>
      <c r="B15" s="48"/>
      <c r="C15" s="48"/>
      <c r="D15" s="48"/>
      <c r="E15" s="48"/>
      <c r="F15" s="45"/>
      <c r="G15" s="45"/>
      <c r="H15" s="12"/>
      <c r="I15" s="5"/>
      <c r="J15" s="5"/>
      <c r="K15" s="5"/>
      <c r="L15" s="5"/>
      <c r="M15" s="13">
        <f>SUM(M4:M13)</f>
        <v>25</v>
      </c>
      <c r="N15" s="45"/>
      <c r="O15" s="45"/>
    </row>
    <row r="16" spans="1:15" ht="13.5" thickBo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13.5" thickBot="1">
      <c r="A17" s="78" t="s">
        <v>10</v>
      </c>
      <c r="B17" s="72"/>
      <c r="C17" s="72"/>
      <c r="D17" s="2"/>
      <c r="E17" s="3">
        <v>4.60725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2.75" customHeight="1">
      <c r="A18" s="74" t="s">
        <v>11</v>
      </c>
      <c r="B18" s="75"/>
      <c r="C18" s="75"/>
      <c r="D18" s="4"/>
      <c r="E18" s="57"/>
      <c r="F18" s="45"/>
      <c r="G18" s="60"/>
      <c r="H18" s="60"/>
      <c r="I18" s="60"/>
      <c r="J18" s="45"/>
      <c r="K18" s="45"/>
      <c r="L18" s="62" t="s">
        <v>48</v>
      </c>
      <c r="M18" s="45"/>
      <c r="N18" s="45"/>
      <c r="O18" s="45"/>
    </row>
    <row r="19" spans="1:15" ht="12.75" customHeight="1">
      <c r="A19" s="74" t="s">
        <v>12</v>
      </c>
      <c r="B19" s="75"/>
      <c r="C19" s="75"/>
      <c r="D19" s="4"/>
      <c r="E19" s="58"/>
      <c r="F19" s="45"/>
      <c r="G19" s="88" t="s">
        <v>31</v>
      </c>
      <c r="H19" s="88"/>
      <c r="I19" s="88"/>
      <c r="J19" s="45"/>
      <c r="K19" s="45"/>
      <c r="L19" s="63" t="s">
        <v>62</v>
      </c>
      <c r="M19" s="45"/>
      <c r="N19" s="45"/>
      <c r="O19" s="45"/>
    </row>
    <row r="20" spans="1:15" ht="12.75">
      <c r="A20" s="74" t="s">
        <v>17</v>
      </c>
      <c r="B20" s="75"/>
      <c r="C20" s="75"/>
      <c r="D20" s="4"/>
      <c r="E20" s="58"/>
      <c r="F20" s="45"/>
      <c r="G20" s="88"/>
      <c r="H20" s="88"/>
      <c r="I20" s="88"/>
      <c r="J20" s="45"/>
      <c r="K20" s="45"/>
      <c r="L20" s="63" t="s">
        <v>49</v>
      </c>
      <c r="M20" s="45"/>
      <c r="N20" s="45"/>
      <c r="O20" s="45"/>
    </row>
    <row r="21" spans="1:15" ht="12.75">
      <c r="A21" s="74" t="s">
        <v>16</v>
      </c>
      <c r="B21" s="75"/>
      <c r="C21" s="75"/>
      <c r="D21" s="4"/>
      <c r="E21" s="58"/>
      <c r="F21" s="45"/>
      <c r="G21" s="60"/>
      <c r="H21" s="60"/>
      <c r="I21" s="60"/>
      <c r="J21" s="45"/>
      <c r="K21" s="45"/>
      <c r="L21" s="63" t="s">
        <v>50</v>
      </c>
      <c r="M21" s="45"/>
      <c r="N21" s="45"/>
      <c r="O21" s="45"/>
    </row>
    <row r="22" spans="1:15" ht="12.75">
      <c r="A22" s="74" t="s">
        <v>35</v>
      </c>
      <c r="B22" s="75"/>
      <c r="C22" s="75"/>
      <c r="D22" s="4"/>
      <c r="E22" s="58"/>
      <c r="F22" s="45"/>
      <c r="G22" s="60"/>
      <c r="H22" s="60"/>
      <c r="I22" s="60"/>
      <c r="J22" s="45"/>
      <c r="K22" s="45"/>
      <c r="L22" s="45"/>
      <c r="M22" s="45"/>
      <c r="N22" s="45"/>
      <c r="O22" s="45"/>
    </row>
    <row r="23" spans="1:15" ht="13.5" thickBot="1">
      <c r="A23" s="79" t="s">
        <v>30</v>
      </c>
      <c r="B23" s="80"/>
      <c r="C23" s="80"/>
      <c r="D23" s="5"/>
      <c r="E23" s="59">
        <v>41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5" ht="13.5" thickBot="1">
      <c r="A24" s="45"/>
      <c r="B24" s="77" t="s">
        <v>37</v>
      </c>
      <c r="C24" s="77"/>
      <c r="D24" s="77"/>
      <c r="E24" s="77"/>
      <c r="F24" s="77"/>
      <c r="G24" s="77"/>
      <c r="H24" s="77"/>
      <c r="I24" s="77" t="s">
        <v>36</v>
      </c>
      <c r="J24" s="77"/>
      <c r="K24" s="77"/>
      <c r="L24" s="77"/>
      <c r="M24" s="77"/>
      <c r="N24" s="77"/>
      <c r="O24" s="77"/>
    </row>
    <row r="25" spans="1:15" ht="15" customHeight="1">
      <c r="A25" s="18" t="s">
        <v>13</v>
      </c>
      <c r="B25" s="41" t="s">
        <v>14</v>
      </c>
      <c r="C25" s="42" t="s">
        <v>15</v>
      </c>
      <c r="D25" s="42"/>
      <c r="E25" s="43" t="s">
        <v>20</v>
      </c>
      <c r="F25" s="43" t="s">
        <v>19</v>
      </c>
      <c r="G25" s="43" t="s">
        <v>21</v>
      </c>
      <c r="H25" s="44" t="s">
        <v>19</v>
      </c>
      <c r="I25" s="41" t="str">
        <f>B25</f>
        <v>Age</v>
      </c>
      <c r="J25" s="42" t="str">
        <f>C25</f>
        <v>Ancienneté</v>
      </c>
      <c r="K25" s="42"/>
      <c r="L25" s="43" t="s">
        <v>20</v>
      </c>
      <c r="M25" s="43" t="s">
        <v>19</v>
      </c>
      <c r="N25" s="43" t="s">
        <v>21</v>
      </c>
      <c r="O25" s="44" t="s">
        <v>19</v>
      </c>
    </row>
    <row r="26" spans="1:15" ht="12.75">
      <c r="A26" s="19">
        <f>E19</f>
        <v>0</v>
      </c>
      <c r="B26" s="32">
        <f>E19-$E$18</f>
        <v>0</v>
      </c>
      <c r="C26" s="4">
        <f>A26-$E$19+$E$20+$E$21+$E$22</f>
        <v>0</v>
      </c>
      <c r="D26" s="14"/>
      <c r="E26" s="4"/>
      <c r="F26" s="14"/>
      <c r="G26" s="14"/>
      <c r="H26" s="6"/>
      <c r="I26" s="32">
        <f aca="true" t="shared" si="5" ref="I26:I39">B26</f>
        <v>0</v>
      </c>
      <c r="J26" s="4">
        <f aca="true" t="shared" si="6" ref="J26:J39">A26-$E$19+$E$20+$E$21+$E$22</f>
        <v>0</v>
      </c>
      <c r="K26" s="14"/>
      <c r="L26" s="14"/>
      <c r="M26" s="14"/>
      <c r="N26" s="14"/>
      <c r="O26" s="6"/>
    </row>
    <row r="27" spans="1:15" ht="12.75">
      <c r="A27" s="19">
        <f>A26+10</f>
        <v>10</v>
      </c>
      <c r="B27" s="32">
        <f aca="true" t="shared" si="7" ref="B27:B39">A27-$E$18</f>
        <v>10</v>
      </c>
      <c r="C27" s="4">
        <f>A27-$E$19+$E$20+$E$21+$E$22+1</f>
        <v>11</v>
      </c>
      <c r="D27" s="14"/>
      <c r="E27" s="4"/>
      <c r="F27" s="14"/>
      <c r="G27" s="14"/>
      <c r="H27" s="6"/>
      <c r="I27" s="32">
        <f t="shared" si="5"/>
        <v>10</v>
      </c>
      <c r="J27" s="4">
        <f t="shared" si="6"/>
        <v>10</v>
      </c>
      <c r="K27" s="14"/>
      <c r="L27" s="14"/>
      <c r="M27" s="14"/>
      <c r="N27" s="14"/>
      <c r="O27" s="6"/>
    </row>
    <row r="28" spans="1:15" ht="12.75">
      <c r="A28" s="19">
        <f>A26+20</f>
        <v>20</v>
      </c>
      <c r="B28" s="32">
        <f t="shared" si="7"/>
        <v>20</v>
      </c>
      <c r="C28" s="4">
        <f>A28-$E$19+$E$20+$E$21+$E$22+2</f>
        <v>22</v>
      </c>
      <c r="D28" s="14"/>
      <c r="E28" s="25">
        <f aca="true" t="shared" si="8" ref="E28:E39">IF(C28&gt;$E$23,"0",($E$23-C28)*0.08)</f>
        <v>1.52</v>
      </c>
      <c r="F28" s="31">
        <f aca="true" t="shared" si="9" ref="F28:F39">IF(E28="0","0",($E$11*0.75)*(1-E28))</f>
        <v>-1045.410972409376</v>
      </c>
      <c r="G28" s="25" t="str">
        <f aca="true" t="shared" si="10" ref="G28:G39">IF(C28&lt;$E$23,"0",(C28-$E$23)*0.02)</f>
        <v>0</v>
      </c>
      <c r="H28" s="30" t="str">
        <f aca="true" t="shared" si="11" ref="H28:H39">IF(G28="0","0",($E$11*0.75)*(1+G28))</f>
        <v>0</v>
      </c>
      <c r="I28" s="32">
        <f t="shared" si="5"/>
        <v>20</v>
      </c>
      <c r="J28" s="4">
        <f t="shared" si="6"/>
        <v>20</v>
      </c>
      <c r="K28" s="14"/>
      <c r="L28" s="25">
        <f aca="true" t="shared" si="12" ref="L28:L39">IF(J28&gt;$E$23,"0",($E$23-J28)*0.08)</f>
        <v>1.68</v>
      </c>
      <c r="M28" s="31">
        <f>IF(L28="0","0",($L$14*0.66)*(1-L28))</f>
        <v>-1295.5673021385783</v>
      </c>
      <c r="N28" s="25" t="str">
        <f aca="true" t="shared" si="13" ref="N28:N39">IF(J28&lt;$E$23,"0",(J28-$E$23)*0.02)</f>
        <v>0</v>
      </c>
      <c r="O28" s="30" t="str">
        <f>IF(N28="0","0",($L$14*0.66)*(1+N28))</f>
        <v>0</v>
      </c>
    </row>
    <row r="29" spans="1:15" ht="12.75">
      <c r="A29" s="19">
        <f>A26+30</f>
        <v>30</v>
      </c>
      <c r="B29" s="32">
        <f t="shared" si="7"/>
        <v>30</v>
      </c>
      <c r="C29" s="4">
        <f>A29-$E$19+$E$20+$E$21+$E$22+3</f>
        <v>33</v>
      </c>
      <c r="D29" s="14"/>
      <c r="E29" s="25">
        <f t="shared" si="8"/>
        <v>0.64</v>
      </c>
      <c r="F29" s="31">
        <f t="shared" si="9"/>
        <v>723.7460578218756</v>
      </c>
      <c r="G29" s="25" t="str">
        <f t="shared" si="10"/>
        <v>0</v>
      </c>
      <c r="H29" s="30" t="str">
        <f t="shared" si="11"/>
        <v>0</v>
      </c>
      <c r="I29" s="32">
        <f t="shared" si="5"/>
        <v>30</v>
      </c>
      <c r="J29" s="4">
        <f t="shared" si="6"/>
        <v>30</v>
      </c>
      <c r="K29" s="14"/>
      <c r="L29" s="25">
        <f t="shared" si="12"/>
        <v>0.88</v>
      </c>
      <c r="M29" s="31">
        <f aca="true" t="shared" si="14" ref="M29:M39">IF(L29="0","0",($L$14*0.66)*(1-L29))</f>
        <v>228.62952390680795</v>
      </c>
      <c r="N29" s="25" t="str">
        <f t="shared" si="13"/>
        <v>0</v>
      </c>
      <c r="O29" s="30" t="str">
        <f aca="true" t="shared" si="15" ref="O29:O39">IF(N29="0","0",($L$14*0.66)*(1+N29))</f>
        <v>0</v>
      </c>
    </row>
    <row r="30" spans="1:15" ht="12.75">
      <c r="A30" s="19">
        <f>A26+31</f>
        <v>31</v>
      </c>
      <c r="B30" s="32">
        <f t="shared" si="7"/>
        <v>31</v>
      </c>
      <c r="C30" s="4">
        <f>A30-$E$19+$E$20+$E$21+$E$22+3.1</f>
        <v>34.1</v>
      </c>
      <c r="D30" s="14"/>
      <c r="E30" s="25">
        <f t="shared" si="8"/>
        <v>0.5519999999999999</v>
      </c>
      <c r="F30" s="31">
        <f t="shared" si="9"/>
        <v>900.661760845001</v>
      </c>
      <c r="G30" s="25" t="str">
        <f t="shared" si="10"/>
        <v>0</v>
      </c>
      <c r="H30" s="30" t="str">
        <f t="shared" si="11"/>
        <v>0</v>
      </c>
      <c r="I30" s="32">
        <f t="shared" si="5"/>
        <v>31</v>
      </c>
      <c r="J30" s="4">
        <f t="shared" si="6"/>
        <v>31</v>
      </c>
      <c r="K30" s="14"/>
      <c r="L30" s="25">
        <f t="shared" si="12"/>
        <v>0.8</v>
      </c>
      <c r="M30" s="31">
        <f t="shared" si="14"/>
        <v>381.0492065113465</v>
      </c>
      <c r="N30" s="25" t="str">
        <f t="shared" si="13"/>
        <v>0</v>
      </c>
      <c r="O30" s="30" t="str">
        <f t="shared" si="15"/>
        <v>0</v>
      </c>
    </row>
    <row r="31" spans="1:15" ht="12.75">
      <c r="A31" s="19">
        <f>A26+32</f>
        <v>32</v>
      </c>
      <c r="B31" s="32">
        <f t="shared" si="7"/>
        <v>32</v>
      </c>
      <c r="C31" s="4">
        <f>A31-$E$19+$E$20+$E$21+$E$22+3.2</f>
        <v>35.2</v>
      </c>
      <c r="D31" s="14"/>
      <c r="E31" s="25">
        <f>IF(C31&gt;$E$23,"0",($E$23-C31)*0.08)</f>
        <v>0.4639999999999998</v>
      </c>
      <c r="F31" s="31">
        <f t="shared" si="9"/>
        <v>1077.5774638681266</v>
      </c>
      <c r="G31" s="25" t="str">
        <f t="shared" si="10"/>
        <v>0</v>
      </c>
      <c r="H31" s="30" t="str">
        <f t="shared" si="11"/>
        <v>0</v>
      </c>
      <c r="I31" s="32">
        <f t="shared" si="5"/>
        <v>32</v>
      </c>
      <c r="J31" s="4">
        <f t="shared" si="6"/>
        <v>32</v>
      </c>
      <c r="K31" s="14"/>
      <c r="L31" s="25">
        <f t="shared" si="12"/>
        <v>0.72</v>
      </c>
      <c r="M31" s="31">
        <f t="shared" si="14"/>
        <v>533.4688891158853</v>
      </c>
      <c r="N31" s="25" t="str">
        <f t="shared" si="13"/>
        <v>0</v>
      </c>
      <c r="O31" s="30" t="str">
        <f t="shared" si="15"/>
        <v>0</v>
      </c>
    </row>
    <row r="32" spans="1:15" ht="12.75">
      <c r="A32" s="19">
        <f>A26+33</f>
        <v>33</v>
      </c>
      <c r="B32" s="32">
        <f t="shared" si="7"/>
        <v>33</v>
      </c>
      <c r="C32" s="4">
        <f>A32-$E$19+$E$20+$E$21+$E$22+3.3</f>
        <v>36.3</v>
      </c>
      <c r="D32" s="14"/>
      <c r="E32" s="25">
        <f t="shared" si="8"/>
        <v>0.3760000000000002</v>
      </c>
      <c r="F32" s="31">
        <f t="shared" si="9"/>
        <v>1254.493166891251</v>
      </c>
      <c r="G32" s="25" t="str">
        <f t="shared" si="10"/>
        <v>0</v>
      </c>
      <c r="H32" s="30" t="str">
        <f t="shared" si="11"/>
        <v>0</v>
      </c>
      <c r="I32" s="32">
        <f t="shared" si="5"/>
        <v>33</v>
      </c>
      <c r="J32" s="4">
        <f t="shared" si="6"/>
        <v>33</v>
      </c>
      <c r="K32" s="14"/>
      <c r="L32" s="25">
        <f t="shared" si="12"/>
        <v>0.64</v>
      </c>
      <c r="M32" s="31">
        <f t="shared" si="14"/>
        <v>685.8885717204238</v>
      </c>
      <c r="N32" s="25" t="str">
        <f t="shared" si="13"/>
        <v>0</v>
      </c>
      <c r="O32" s="30" t="str">
        <f t="shared" si="15"/>
        <v>0</v>
      </c>
    </row>
    <row r="33" spans="1:15" ht="12.75">
      <c r="A33" s="19">
        <f>A26+34</f>
        <v>34</v>
      </c>
      <c r="B33" s="32">
        <f t="shared" si="7"/>
        <v>34</v>
      </c>
      <c r="C33" s="4">
        <f>A33-$E$19+$E$20+$E$21+$E$22+3.4</f>
        <v>37.4</v>
      </c>
      <c r="D33" s="14"/>
      <c r="E33" s="25">
        <f t="shared" si="8"/>
        <v>0.28800000000000014</v>
      </c>
      <c r="F33" s="31">
        <f t="shared" si="9"/>
        <v>1431.408869914376</v>
      </c>
      <c r="G33" s="25" t="str">
        <f t="shared" si="10"/>
        <v>0</v>
      </c>
      <c r="H33" s="30" t="str">
        <f t="shared" si="11"/>
        <v>0</v>
      </c>
      <c r="I33" s="32">
        <f t="shared" si="5"/>
        <v>34</v>
      </c>
      <c r="J33" s="4">
        <f t="shared" si="6"/>
        <v>34</v>
      </c>
      <c r="K33" s="14"/>
      <c r="L33" s="25">
        <f t="shared" si="12"/>
        <v>0.56</v>
      </c>
      <c r="M33" s="31">
        <f t="shared" si="14"/>
        <v>838.3082543249624</v>
      </c>
      <c r="N33" s="25" t="str">
        <f t="shared" si="13"/>
        <v>0</v>
      </c>
      <c r="O33" s="30" t="str">
        <f t="shared" si="15"/>
        <v>0</v>
      </c>
    </row>
    <row r="34" spans="1:15" ht="12.75">
      <c r="A34" s="19">
        <f>A26+35</f>
        <v>35</v>
      </c>
      <c r="B34" s="37">
        <f t="shared" si="7"/>
        <v>35</v>
      </c>
      <c r="C34" s="27">
        <f>A34-$E$19+$E$20+$E$21+$E$22+3.5</f>
        <v>38.5</v>
      </c>
      <c r="D34" s="28"/>
      <c r="E34" s="29">
        <f t="shared" si="8"/>
        <v>0.2</v>
      </c>
      <c r="F34" s="31">
        <f t="shared" si="9"/>
        <v>1608.3245729375017</v>
      </c>
      <c r="G34" s="29" t="str">
        <f t="shared" si="10"/>
        <v>0</v>
      </c>
      <c r="H34" s="30" t="str">
        <f t="shared" si="11"/>
        <v>0</v>
      </c>
      <c r="I34" s="37">
        <f t="shared" si="5"/>
        <v>35</v>
      </c>
      <c r="J34" s="27">
        <f t="shared" si="6"/>
        <v>35</v>
      </c>
      <c r="K34" s="28"/>
      <c r="L34" s="29">
        <f t="shared" si="12"/>
        <v>0.48</v>
      </c>
      <c r="M34" s="31">
        <f t="shared" si="14"/>
        <v>990.7279369295011</v>
      </c>
      <c r="N34" s="29" t="str">
        <f t="shared" si="13"/>
        <v>0</v>
      </c>
      <c r="O34" s="30" t="str">
        <f t="shared" si="15"/>
        <v>0</v>
      </c>
    </row>
    <row r="35" spans="1:15" ht="12.75">
      <c r="A35" s="19">
        <f>A26+36</f>
        <v>36</v>
      </c>
      <c r="B35" s="32">
        <f t="shared" si="7"/>
        <v>36</v>
      </c>
      <c r="C35" s="4">
        <f>A35-$E$19+$E$20+$E$21+$E$22+3.6</f>
        <v>39.6</v>
      </c>
      <c r="D35" s="14"/>
      <c r="E35" s="25">
        <f t="shared" si="8"/>
        <v>0.11199999999999989</v>
      </c>
      <c r="F35" s="31">
        <f t="shared" si="9"/>
        <v>1785.240275960627</v>
      </c>
      <c r="G35" s="25" t="str">
        <f t="shared" si="10"/>
        <v>0</v>
      </c>
      <c r="H35" s="30" t="str">
        <f t="shared" si="11"/>
        <v>0</v>
      </c>
      <c r="I35" s="32">
        <f t="shared" si="5"/>
        <v>36</v>
      </c>
      <c r="J35" s="4">
        <f t="shared" si="6"/>
        <v>36</v>
      </c>
      <c r="K35" s="14"/>
      <c r="L35" s="25">
        <f t="shared" si="12"/>
        <v>0.4</v>
      </c>
      <c r="M35" s="31">
        <f t="shared" si="14"/>
        <v>1143.1476195340397</v>
      </c>
      <c r="N35" s="25" t="str">
        <f t="shared" si="13"/>
        <v>0</v>
      </c>
      <c r="O35" s="30" t="str">
        <f t="shared" si="15"/>
        <v>0</v>
      </c>
    </row>
    <row r="36" spans="1:15" ht="12.75">
      <c r="A36" s="19">
        <f>A26+37</f>
        <v>37</v>
      </c>
      <c r="B36" s="32">
        <f t="shared" si="7"/>
        <v>37</v>
      </c>
      <c r="C36" s="4">
        <f>A36-$E$19+$E$20+$E$21+$E$22+3.7</f>
        <v>40.7</v>
      </c>
      <c r="D36" s="14"/>
      <c r="E36" s="25">
        <f t="shared" si="8"/>
        <v>0.02399999999999977</v>
      </c>
      <c r="F36" s="31">
        <f t="shared" si="9"/>
        <v>1962.1559789837522</v>
      </c>
      <c r="G36" s="25" t="str">
        <f t="shared" si="10"/>
        <v>0</v>
      </c>
      <c r="H36" s="30" t="str">
        <f t="shared" si="11"/>
        <v>0</v>
      </c>
      <c r="I36" s="32">
        <f t="shared" si="5"/>
        <v>37</v>
      </c>
      <c r="J36" s="4">
        <f t="shared" si="6"/>
        <v>37</v>
      </c>
      <c r="K36" s="14"/>
      <c r="L36" s="25">
        <f t="shared" si="12"/>
        <v>0.32</v>
      </c>
      <c r="M36" s="31">
        <f t="shared" si="14"/>
        <v>1295.5673021385783</v>
      </c>
      <c r="N36" s="25" t="str">
        <f t="shared" si="13"/>
        <v>0</v>
      </c>
      <c r="O36" s="30" t="str">
        <f t="shared" si="15"/>
        <v>0</v>
      </c>
    </row>
    <row r="37" spans="1:15" ht="12.75">
      <c r="A37" s="19">
        <f>A26+38</f>
        <v>38</v>
      </c>
      <c r="B37" s="32">
        <f t="shared" si="7"/>
        <v>38</v>
      </c>
      <c r="C37" s="4">
        <f>A37-$E$19+$E$20+$E$21+$E$22+3.8</f>
        <v>41.8</v>
      </c>
      <c r="D37" s="14"/>
      <c r="E37" s="25" t="str">
        <f t="shared" si="8"/>
        <v>0</v>
      </c>
      <c r="F37" s="31" t="str">
        <f t="shared" si="9"/>
        <v>0</v>
      </c>
      <c r="G37" s="25">
        <f t="shared" si="10"/>
        <v>0.015999999999999945</v>
      </c>
      <c r="H37" s="30">
        <f t="shared" si="11"/>
        <v>2042.572207630627</v>
      </c>
      <c r="I37" s="32">
        <f t="shared" si="5"/>
        <v>38</v>
      </c>
      <c r="J37" s="4">
        <f t="shared" si="6"/>
        <v>38</v>
      </c>
      <c r="K37" s="14"/>
      <c r="L37" s="25">
        <f t="shared" si="12"/>
        <v>0.24</v>
      </c>
      <c r="M37" s="31">
        <f t="shared" si="14"/>
        <v>1447.986984743117</v>
      </c>
      <c r="N37" s="25" t="str">
        <f t="shared" si="13"/>
        <v>0</v>
      </c>
      <c r="O37" s="30" t="str">
        <f t="shared" si="15"/>
        <v>0</v>
      </c>
    </row>
    <row r="38" spans="1:15" ht="12.75">
      <c r="A38" s="19">
        <f>A26+39</f>
        <v>39</v>
      </c>
      <c r="B38" s="32">
        <f t="shared" si="7"/>
        <v>39</v>
      </c>
      <c r="C38" s="4">
        <f>A38-$E$19+$E$20+$E$21+$E$22+3.9</f>
        <v>42.9</v>
      </c>
      <c r="D38" s="14"/>
      <c r="E38" s="25" t="str">
        <f t="shared" si="8"/>
        <v>0</v>
      </c>
      <c r="F38" s="31" t="str">
        <f t="shared" si="9"/>
        <v>0</v>
      </c>
      <c r="G38" s="25">
        <f t="shared" si="10"/>
        <v>0.03799999999999997</v>
      </c>
      <c r="H38" s="30">
        <f t="shared" si="11"/>
        <v>2086.8011333864083</v>
      </c>
      <c r="I38" s="32">
        <f t="shared" si="5"/>
        <v>39</v>
      </c>
      <c r="J38" s="4">
        <f t="shared" si="6"/>
        <v>39</v>
      </c>
      <c r="K38" s="14"/>
      <c r="L38" s="25">
        <f t="shared" si="12"/>
        <v>0.16</v>
      </c>
      <c r="M38" s="31">
        <f t="shared" si="14"/>
        <v>1600.4066673476555</v>
      </c>
      <c r="N38" s="25" t="str">
        <f t="shared" si="13"/>
        <v>0</v>
      </c>
      <c r="O38" s="30" t="str">
        <f t="shared" si="15"/>
        <v>0</v>
      </c>
    </row>
    <row r="39" spans="1:15" ht="13.5" thickBot="1">
      <c r="A39" s="20">
        <f>A26+40</f>
        <v>40</v>
      </c>
      <c r="B39" s="33">
        <f t="shared" si="7"/>
        <v>40</v>
      </c>
      <c r="C39" s="5">
        <f>A39-$E$19+$E$20+$E$21+$E$22+4</f>
        <v>44</v>
      </c>
      <c r="D39" s="16"/>
      <c r="E39" s="26" t="str">
        <f t="shared" si="8"/>
        <v>0</v>
      </c>
      <c r="F39" s="34" t="str">
        <f t="shared" si="9"/>
        <v>0</v>
      </c>
      <c r="G39" s="26">
        <f t="shared" si="10"/>
        <v>0.06</v>
      </c>
      <c r="H39" s="35">
        <f t="shared" si="11"/>
        <v>2131.0300591421897</v>
      </c>
      <c r="I39" s="33">
        <f t="shared" si="5"/>
        <v>40</v>
      </c>
      <c r="J39" s="5">
        <f t="shared" si="6"/>
        <v>40</v>
      </c>
      <c r="K39" s="16"/>
      <c r="L39" s="26">
        <f t="shared" si="12"/>
        <v>0.08</v>
      </c>
      <c r="M39" s="34">
        <f t="shared" si="14"/>
        <v>1752.8263499521943</v>
      </c>
      <c r="N39" s="26" t="str">
        <f t="shared" si="13"/>
        <v>0</v>
      </c>
      <c r="O39" s="35" t="str">
        <f t="shared" si="15"/>
        <v>0</v>
      </c>
    </row>
    <row r="40" spans="1:15" ht="12.75">
      <c r="A40" s="48"/>
      <c r="B40" s="48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2.75">
      <c r="A41" s="50" t="s">
        <v>18</v>
      </c>
      <c r="B41" s="48"/>
      <c r="C41" s="45"/>
      <c r="D41" s="45"/>
      <c r="E41" s="45"/>
      <c r="F41" s="45"/>
      <c r="G41" s="45"/>
      <c r="H41" s="45"/>
      <c r="I41" s="50" t="s">
        <v>25</v>
      </c>
      <c r="J41" s="45"/>
      <c r="K41" s="45"/>
      <c r="L41" s="45"/>
      <c r="M41" s="45"/>
      <c r="N41" s="45"/>
      <c r="O41" s="45"/>
    </row>
    <row r="42" spans="1:15" ht="12.75">
      <c r="A42" s="49" t="s">
        <v>5</v>
      </c>
      <c r="B42" s="48"/>
      <c r="C42" s="45"/>
      <c r="D42" s="45"/>
      <c r="E42" s="45"/>
      <c r="F42" s="45"/>
      <c r="G42" s="45"/>
      <c r="H42" s="45"/>
      <c r="I42" s="49" t="s">
        <v>7</v>
      </c>
      <c r="J42" s="45"/>
      <c r="K42" s="45"/>
      <c r="L42" s="45"/>
      <c r="M42" s="45"/>
      <c r="N42" s="45"/>
      <c r="O42" s="45"/>
    </row>
    <row r="43" spans="1:15" ht="12.75">
      <c r="A43" s="49" t="s">
        <v>6</v>
      </c>
      <c r="B43" s="45"/>
      <c r="C43" s="45"/>
      <c r="D43" s="45"/>
      <c r="E43" s="45"/>
      <c r="F43" s="45"/>
      <c r="G43" s="45"/>
      <c r="H43" s="45"/>
      <c r="I43" s="50" t="s">
        <v>22</v>
      </c>
      <c r="J43" s="45"/>
      <c r="K43" s="45"/>
      <c r="L43" s="45"/>
      <c r="M43" s="45"/>
      <c r="N43" s="45"/>
      <c r="O43" s="45"/>
    </row>
    <row r="44" spans="1:15" ht="12.75">
      <c r="A44" s="50" t="s">
        <v>27</v>
      </c>
      <c r="B44" s="45"/>
      <c r="C44" s="45"/>
      <c r="D44" s="45"/>
      <c r="E44" s="45"/>
      <c r="F44" s="56">
        <f>E11*0.75</f>
        <v>2010.405716171877</v>
      </c>
      <c r="G44" s="45"/>
      <c r="H44" s="45"/>
      <c r="I44" s="50" t="s">
        <v>26</v>
      </c>
      <c r="J44" s="45"/>
      <c r="K44" s="45"/>
      <c r="L44" s="45"/>
      <c r="M44" s="45"/>
      <c r="N44" s="56">
        <f>L14*0.66</f>
        <v>1905.2460325567329</v>
      </c>
      <c r="O44" s="45"/>
    </row>
    <row r="45" spans="1:15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</sheetData>
  <sheetProtection password="DDE3" sheet="1" objects="1" scenarios="1" selectLockedCells="1"/>
  <protectedRanges>
    <protectedRange password="DDE3" sqref="E18:E23" name="Plage1"/>
  </protectedRanges>
  <mergeCells count="12">
    <mergeCell ref="I24:O24"/>
    <mergeCell ref="A1:F2"/>
    <mergeCell ref="H1:M2"/>
    <mergeCell ref="A17:C17"/>
    <mergeCell ref="A18:C18"/>
    <mergeCell ref="A19:C19"/>
    <mergeCell ref="G19:I20"/>
    <mergeCell ref="A20:C20"/>
    <mergeCell ref="A21:C21"/>
    <mergeCell ref="A22:C22"/>
    <mergeCell ref="A23:C23"/>
    <mergeCell ref="B24:H24"/>
  </mergeCells>
  <printOptions horizontalCentered="1" verticalCentered="1"/>
  <pageMargins left="0.4330708661417323" right="0.4330708661417323" top="0.35433070866141736" bottom="0.35433070866141736" header="0" footer="0"/>
  <pageSetup fitToHeight="1" fitToWidth="1" horizontalDpi="300" verticalDpi="3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O41"/>
  <sheetViews>
    <sheetView showGridLines="0" zoomScalePageLayoutView="0" workbookViewId="0" topLeftCell="A1">
      <selection activeCell="E18" sqref="E18"/>
    </sheetView>
  </sheetViews>
  <sheetFormatPr defaultColWidth="11.421875" defaultRowHeight="12.75"/>
  <cols>
    <col min="1" max="3" width="11.421875" style="1" customWidth="1"/>
    <col min="4" max="4" width="0" style="1" hidden="1" customWidth="1"/>
    <col min="5" max="10" width="11.421875" style="1" customWidth="1"/>
    <col min="11" max="11" width="0" style="1" hidden="1" customWidth="1"/>
    <col min="12" max="16384" width="11.421875" style="1" customWidth="1"/>
  </cols>
  <sheetData>
    <row r="1" spans="1:15" ht="15" customHeight="1">
      <c r="A1" s="71" t="s">
        <v>46</v>
      </c>
      <c r="B1" s="72"/>
      <c r="C1" s="72"/>
      <c r="D1" s="72"/>
      <c r="E1" s="72"/>
      <c r="F1" s="73"/>
      <c r="G1" s="45"/>
      <c r="H1" s="71" t="s">
        <v>47</v>
      </c>
      <c r="I1" s="72"/>
      <c r="J1" s="72"/>
      <c r="K1" s="72"/>
      <c r="L1" s="72"/>
      <c r="M1" s="73"/>
      <c r="N1" s="45"/>
      <c r="O1" s="45"/>
    </row>
    <row r="2" spans="1:15" ht="12.75">
      <c r="A2" s="74"/>
      <c r="B2" s="75"/>
      <c r="C2" s="75"/>
      <c r="D2" s="75"/>
      <c r="E2" s="75"/>
      <c r="F2" s="76"/>
      <c r="G2" s="45"/>
      <c r="H2" s="74"/>
      <c r="I2" s="75"/>
      <c r="J2" s="75"/>
      <c r="K2" s="75"/>
      <c r="L2" s="75"/>
      <c r="M2" s="76"/>
      <c r="N2" s="45"/>
      <c r="O2" s="45"/>
    </row>
    <row r="3" spans="1:15" ht="12.75">
      <c r="A3" s="38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40" t="s">
        <v>9</v>
      </c>
      <c r="G3" s="45"/>
      <c r="H3" s="38" t="s">
        <v>0</v>
      </c>
      <c r="I3" s="39" t="s">
        <v>1</v>
      </c>
      <c r="J3" s="39" t="s">
        <v>2</v>
      </c>
      <c r="K3" s="39" t="s">
        <v>3</v>
      </c>
      <c r="L3" s="39" t="s">
        <v>4</v>
      </c>
      <c r="M3" s="40" t="s">
        <v>9</v>
      </c>
      <c r="N3" s="45"/>
      <c r="O3" s="46" t="s">
        <v>23</v>
      </c>
    </row>
    <row r="4" spans="1:15" ht="12.75">
      <c r="A4" s="7">
        <v>1</v>
      </c>
      <c r="B4" s="4">
        <v>532</v>
      </c>
      <c r="C4" s="9">
        <f aca="true" t="shared" si="0" ref="C4:C9">B4*$E$13</f>
        <v>2451.057</v>
      </c>
      <c r="D4" s="4">
        <v>0.952224734</v>
      </c>
      <c r="E4" s="9">
        <f aca="true" t="shared" si="1" ref="E4:E9">C4*D4</f>
        <v>2333.9570998438376</v>
      </c>
      <c r="F4" s="8">
        <v>2</v>
      </c>
      <c r="G4" s="45"/>
      <c r="H4" s="7">
        <v>1</v>
      </c>
      <c r="I4" s="4">
        <v>550</v>
      </c>
      <c r="J4" s="9">
        <f aca="true" t="shared" si="2" ref="J4:J10">I4*$E$13</f>
        <v>2533.9874999999997</v>
      </c>
      <c r="K4" s="4">
        <v>0.952224734</v>
      </c>
      <c r="L4" s="9">
        <f>J4*K4</f>
        <v>2412.9255731468247</v>
      </c>
      <c r="M4" s="8">
        <v>2</v>
      </c>
      <c r="N4" s="45"/>
      <c r="O4" s="47">
        <f aca="true" t="shared" si="3" ref="O4:O9">L4-E4</f>
        <v>78.96847330298715</v>
      </c>
    </row>
    <row r="5" spans="1:15" ht="12.75">
      <c r="A5" s="7">
        <v>2</v>
      </c>
      <c r="B5" s="4">
        <v>543</v>
      </c>
      <c r="C5" s="9">
        <f t="shared" si="0"/>
        <v>2501.7367499999996</v>
      </c>
      <c r="D5" s="4">
        <v>0.952224734</v>
      </c>
      <c r="E5" s="9">
        <f t="shared" si="1"/>
        <v>2382.215611306774</v>
      </c>
      <c r="F5" s="8">
        <v>3</v>
      </c>
      <c r="G5" s="45"/>
      <c r="H5" s="7">
        <v>2</v>
      </c>
      <c r="I5" s="4">
        <v>572</v>
      </c>
      <c r="J5" s="9">
        <f t="shared" si="2"/>
        <v>2635.3469999999998</v>
      </c>
      <c r="K5" s="4">
        <v>0.952224734</v>
      </c>
      <c r="L5" s="9">
        <f aca="true" t="shared" si="4" ref="L5:L10">J5*K5</f>
        <v>2509.4425960726976</v>
      </c>
      <c r="M5" s="8">
        <v>2</v>
      </c>
      <c r="N5" s="45"/>
      <c r="O5" s="47">
        <f t="shared" si="3"/>
        <v>127.22698476592359</v>
      </c>
    </row>
    <row r="6" spans="1:15" ht="12.75">
      <c r="A6" s="7">
        <v>3</v>
      </c>
      <c r="B6" s="4">
        <v>565</v>
      </c>
      <c r="C6" s="9">
        <f t="shared" si="0"/>
        <v>2603.0962499999996</v>
      </c>
      <c r="D6" s="4">
        <v>0.952224734</v>
      </c>
      <c r="E6" s="9">
        <f t="shared" si="1"/>
        <v>2478.732634232647</v>
      </c>
      <c r="F6" s="8">
        <v>3</v>
      </c>
      <c r="G6" s="45"/>
      <c r="H6" s="7">
        <v>3</v>
      </c>
      <c r="I6" s="4">
        <v>598</v>
      </c>
      <c r="J6" s="9">
        <f t="shared" si="2"/>
        <v>2755.1355</v>
      </c>
      <c r="K6" s="4">
        <v>0.952224734</v>
      </c>
      <c r="L6" s="9">
        <f t="shared" si="4"/>
        <v>2623.5081686214567</v>
      </c>
      <c r="M6" s="8">
        <v>3</v>
      </c>
      <c r="N6" s="45"/>
      <c r="O6" s="47">
        <f t="shared" si="3"/>
        <v>144.77553438880977</v>
      </c>
    </row>
    <row r="7" spans="1:15" ht="12.75">
      <c r="A7" s="7">
        <v>4</v>
      </c>
      <c r="B7" s="4">
        <v>580</v>
      </c>
      <c r="C7" s="9">
        <f t="shared" si="0"/>
        <v>2672.205</v>
      </c>
      <c r="D7" s="4">
        <v>0.952224734</v>
      </c>
      <c r="E7" s="9">
        <f t="shared" si="1"/>
        <v>2544.53969531847</v>
      </c>
      <c r="F7" s="8">
        <v>3</v>
      </c>
      <c r="G7" s="45"/>
      <c r="H7" s="7">
        <v>4</v>
      </c>
      <c r="I7" s="4">
        <v>630</v>
      </c>
      <c r="J7" s="9">
        <f t="shared" si="2"/>
        <v>2902.5674999999997</v>
      </c>
      <c r="K7" s="4">
        <v>0.952224734</v>
      </c>
      <c r="L7" s="9">
        <f t="shared" si="4"/>
        <v>2763.896565604545</v>
      </c>
      <c r="M7" s="8">
        <v>3</v>
      </c>
      <c r="N7" s="45"/>
      <c r="O7" s="47">
        <f t="shared" si="3"/>
        <v>219.3568702860748</v>
      </c>
    </row>
    <row r="8" spans="1:15" ht="12.75">
      <c r="A8" s="7">
        <v>5</v>
      </c>
      <c r="B8" s="4">
        <v>620</v>
      </c>
      <c r="C8" s="9">
        <f t="shared" si="0"/>
        <v>2856.495</v>
      </c>
      <c r="D8" s="4">
        <v>0.952224734</v>
      </c>
      <c r="E8" s="9">
        <f t="shared" si="1"/>
        <v>2720.02519154733</v>
      </c>
      <c r="F8" s="8">
        <v>3</v>
      </c>
      <c r="G8" s="45"/>
      <c r="H8" s="7">
        <v>5</v>
      </c>
      <c r="I8" s="4">
        <v>662</v>
      </c>
      <c r="J8" s="9">
        <f t="shared" si="2"/>
        <v>3049.9995</v>
      </c>
      <c r="K8" s="4">
        <v>0.952224734</v>
      </c>
      <c r="L8" s="9">
        <f t="shared" si="4"/>
        <v>2904.284962587633</v>
      </c>
      <c r="M8" s="8">
        <v>3</v>
      </c>
      <c r="N8" s="45"/>
      <c r="O8" s="47">
        <f t="shared" si="3"/>
        <v>184.2597710403029</v>
      </c>
    </row>
    <row r="9" spans="1:15" ht="12.75">
      <c r="A9" s="7">
        <v>6</v>
      </c>
      <c r="B9" s="10">
        <v>641</v>
      </c>
      <c r="C9" s="9">
        <f t="shared" si="0"/>
        <v>2953.24725</v>
      </c>
      <c r="D9" s="4">
        <v>0.952224734</v>
      </c>
      <c r="E9" s="11">
        <f t="shared" si="1"/>
        <v>2812.155077067481</v>
      </c>
      <c r="F9" s="6"/>
      <c r="G9" s="45"/>
      <c r="H9" s="7">
        <v>6</v>
      </c>
      <c r="I9" s="4">
        <v>698</v>
      </c>
      <c r="J9" s="9">
        <f t="shared" si="2"/>
        <v>3215.8605</v>
      </c>
      <c r="K9" s="4">
        <v>0.952224734</v>
      </c>
      <c r="L9" s="9">
        <f t="shared" si="4"/>
        <v>3062.2219091936067</v>
      </c>
      <c r="M9" s="8">
        <v>3</v>
      </c>
      <c r="N9" s="45"/>
      <c r="O9" s="47">
        <f t="shared" si="3"/>
        <v>250.06683212612552</v>
      </c>
    </row>
    <row r="10" spans="1:15" ht="13.5" thickBot="1">
      <c r="A10" s="12"/>
      <c r="B10" s="5"/>
      <c r="C10" s="5"/>
      <c r="D10" s="5"/>
      <c r="E10" s="5"/>
      <c r="F10" s="13">
        <f>SUM(F4:F9)</f>
        <v>14</v>
      </c>
      <c r="G10" s="45"/>
      <c r="H10" s="7">
        <v>7</v>
      </c>
      <c r="I10" s="10">
        <v>734</v>
      </c>
      <c r="J10" s="9">
        <f t="shared" si="2"/>
        <v>3381.7214999999997</v>
      </c>
      <c r="K10" s="4">
        <v>0.952224734</v>
      </c>
      <c r="L10" s="11">
        <f t="shared" si="4"/>
        <v>3220.1588557995806</v>
      </c>
      <c r="M10" s="6"/>
      <c r="N10" s="45"/>
      <c r="O10" s="47">
        <f>L10-L9</f>
        <v>157.93694660597384</v>
      </c>
    </row>
    <row r="11" spans="1:15" ht="13.5" thickBot="1">
      <c r="A11" s="45"/>
      <c r="B11" s="45"/>
      <c r="C11" s="45"/>
      <c r="D11" s="45"/>
      <c r="E11" s="45"/>
      <c r="F11" s="45"/>
      <c r="G11" s="45"/>
      <c r="H11" s="12"/>
      <c r="I11" s="5"/>
      <c r="J11" s="5"/>
      <c r="K11" s="5"/>
      <c r="L11" s="5"/>
      <c r="M11" s="13">
        <f>SUM(M4:M10)</f>
        <v>16</v>
      </c>
      <c r="N11" s="45"/>
      <c r="O11" s="45"/>
    </row>
    <row r="12" spans="1:15" ht="13.5" thickBo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5" ht="13.5" thickBot="1">
      <c r="A13" s="78" t="s">
        <v>10</v>
      </c>
      <c r="B13" s="72"/>
      <c r="C13" s="72"/>
      <c r="D13" s="2"/>
      <c r="E13" s="3">
        <v>4.60725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2.75">
      <c r="A14" s="74" t="s">
        <v>11</v>
      </c>
      <c r="B14" s="75"/>
      <c r="C14" s="75"/>
      <c r="D14" s="4"/>
      <c r="E14" s="57"/>
      <c r="F14" s="45"/>
      <c r="G14" s="45"/>
      <c r="H14" s="45"/>
      <c r="I14" s="45"/>
      <c r="J14" s="45"/>
      <c r="K14" s="45"/>
      <c r="L14" s="62" t="s">
        <v>48</v>
      </c>
      <c r="M14" s="45"/>
      <c r="N14" s="45"/>
      <c r="O14" s="45"/>
    </row>
    <row r="15" spans="1:15" ht="12.75">
      <c r="A15" s="74" t="s">
        <v>12</v>
      </c>
      <c r="B15" s="75"/>
      <c r="C15" s="75"/>
      <c r="D15" s="4"/>
      <c r="E15" s="58"/>
      <c r="F15" s="45"/>
      <c r="G15" s="81" t="s">
        <v>31</v>
      </c>
      <c r="H15" s="82"/>
      <c r="I15" s="82"/>
      <c r="J15" s="45"/>
      <c r="K15" s="45"/>
      <c r="L15" s="63" t="s">
        <v>61</v>
      </c>
      <c r="M15" s="45"/>
      <c r="N15" s="45"/>
      <c r="O15" s="45"/>
    </row>
    <row r="16" spans="1:15" ht="12.75">
      <c r="A16" s="74" t="s">
        <v>17</v>
      </c>
      <c r="B16" s="75"/>
      <c r="C16" s="75"/>
      <c r="D16" s="4"/>
      <c r="E16" s="58"/>
      <c r="F16" s="45"/>
      <c r="G16" s="82"/>
      <c r="H16" s="82"/>
      <c r="I16" s="82"/>
      <c r="J16" s="45"/>
      <c r="K16" s="45"/>
      <c r="L16" s="63" t="s">
        <v>49</v>
      </c>
      <c r="M16" s="45"/>
      <c r="N16" s="45"/>
      <c r="O16" s="45"/>
    </row>
    <row r="17" spans="1:15" ht="12.75">
      <c r="A17" s="74" t="s">
        <v>16</v>
      </c>
      <c r="B17" s="75"/>
      <c r="C17" s="75"/>
      <c r="D17" s="4"/>
      <c r="E17" s="58"/>
      <c r="F17" s="45"/>
      <c r="G17" s="45"/>
      <c r="H17" s="45"/>
      <c r="I17" s="45"/>
      <c r="J17" s="45"/>
      <c r="K17" s="45"/>
      <c r="L17" s="63" t="s">
        <v>50</v>
      </c>
      <c r="M17" s="45"/>
      <c r="N17" s="45"/>
      <c r="O17" s="45"/>
    </row>
    <row r="18" spans="1:15" ht="12.75">
      <c r="A18" s="74" t="s">
        <v>35</v>
      </c>
      <c r="B18" s="75"/>
      <c r="C18" s="75"/>
      <c r="D18" s="4"/>
      <c r="E18" s="58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1:15" ht="13.5" thickBot="1">
      <c r="A19" s="79" t="s">
        <v>30</v>
      </c>
      <c r="B19" s="80"/>
      <c r="C19" s="80"/>
      <c r="D19" s="5"/>
      <c r="E19" s="59">
        <v>41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13.5" thickBot="1">
      <c r="A20" s="45"/>
      <c r="B20" s="77" t="s">
        <v>46</v>
      </c>
      <c r="C20" s="77"/>
      <c r="D20" s="77"/>
      <c r="E20" s="77"/>
      <c r="F20" s="77"/>
      <c r="G20" s="77"/>
      <c r="H20" s="77"/>
      <c r="I20" s="77" t="s">
        <v>47</v>
      </c>
      <c r="J20" s="77"/>
      <c r="K20" s="77"/>
      <c r="L20" s="77"/>
      <c r="M20" s="77"/>
      <c r="N20" s="77"/>
      <c r="O20" s="77"/>
    </row>
    <row r="21" spans="1:15" ht="15" customHeight="1">
      <c r="A21" s="18" t="s">
        <v>13</v>
      </c>
      <c r="B21" s="41" t="s">
        <v>14</v>
      </c>
      <c r="C21" s="42" t="s">
        <v>15</v>
      </c>
      <c r="D21" s="42"/>
      <c r="E21" s="43" t="s">
        <v>20</v>
      </c>
      <c r="F21" s="43" t="s">
        <v>19</v>
      </c>
      <c r="G21" s="43" t="s">
        <v>21</v>
      </c>
      <c r="H21" s="44" t="s">
        <v>19</v>
      </c>
      <c r="I21" s="41" t="str">
        <f>B21</f>
        <v>Age</v>
      </c>
      <c r="J21" s="42" t="str">
        <f>C21</f>
        <v>Ancienneté</v>
      </c>
      <c r="K21" s="42"/>
      <c r="L21" s="43" t="s">
        <v>20</v>
      </c>
      <c r="M21" s="43" t="s">
        <v>19</v>
      </c>
      <c r="N21" s="43" t="s">
        <v>21</v>
      </c>
      <c r="O21" s="44" t="s">
        <v>19</v>
      </c>
    </row>
    <row r="22" spans="1:15" ht="12.75">
      <c r="A22" s="19">
        <f>E15</f>
        <v>0</v>
      </c>
      <c r="B22" s="32">
        <f>E15-$E$14</f>
        <v>0</v>
      </c>
      <c r="C22" s="4">
        <f aca="true" t="shared" si="5" ref="C22:C35">A22-$E$15+$E$16+$E$17+$E$18</f>
        <v>0</v>
      </c>
      <c r="D22" s="14"/>
      <c r="E22" s="4"/>
      <c r="F22" s="14"/>
      <c r="G22" s="14"/>
      <c r="H22" s="6"/>
      <c r="I22" s="32">
        <f aca="true" t="shared" si="6" ref="I22:I35">B22</f>
        <v>0</v>
      </c>
      <c r="J22" s="4">
        <f aca="true" t="shared" si="7" ref="J22:J35">A22-$E$15+$E$16+$E$17+$E$18</f>
        <v>0</v>
      </c>
      <c r="K22" s="14"/>
      <c r="L22" s="14"/>
      <c r="M22" s="14"/>
      <c r="N22" s="14"/>
      <c r="O22" s="6"/>
    </row>
    <row r="23" spans="1:15" ht="12.75">
      <c r="A23" s="19">
        <f>A22+10</f>
        <v>10</v>
      </c>
      <c r="B23" s="32">
        <f aca="true" t="shared" si="8" ref="B23:B35">A23-$E$14</f>
        <v>10</v>
      </c>
      <c r="C23" s="4">
        <f t="shared" si="5"/>
        <v>10</v>
      </c>
      <c r="D23" s="14"/>
      <c r="E23" s="4"/>
      <c r="F23" s="14"/>
      <c r="G23" s="14"/>
      <c r="H23" s="6"/>
      <c r="I23" s="32">
        <f t="shared" si="6"/>
        <v>10</v>
      </c>
      <c r="J23" s="4">
        <f t="shared" si="7"/>
        <v>10</v>
      </c>
      <c r="K23" s="14"/>
      <c r="L23" s="14"/>
      <c r="M23" s="14"/>
      <c r="N23" s="14"/>
      <c r="O23" s="6"/>
    </row>
    <row r="24" spans="1:15" ht="12.75">
      <c r="A24" s="19">
        <f>A22+20</f>
        <v>20</v>
      </c>
      <c r="B24" s="32">
        <f t="shared" si="8"/>
        <v>20</v>
      </c>
      <c r="C24" s="4">
        <f t="shared" si="5"/>
        <v>20</v>
      </c>
      <c r="D24" s="14"/>
      <c r="E24" s="15">
        <f aca="true" t="shared" si="9" ref="E24:E31">IF(C24&gt;$E$19,"0",($E$19-C24)*0.08)</f>
        <v>1.68</v>
      </c>
      <c r="F24" s="31">
        <f aca="true" t="shared" si="10" ref="F24:F35">IF(E24="0","0",($E$9*0.75)*(1-E24))</f>
        <v>-1434.1990893044153</v>
      </c>
      <c r="G24" s="15" t="str">
        <f aca="true" t="shared" si="11" ref="G24:G35">IF(C24&lt;$E$19,"0",(C24-$E$19)*0.02)</f>
        <v>0</v>
      </c>
      <c r="H24" s="36" t="str">
        <f aca="true" t="shared" si="12" ref="H24:H35">IF(G24="0","0",($E$9*0.75)*(1+G24))</f>
        <v>0</v>
      </c>
      <c r="I24" s="32">
        <f t="shared" si="6"/>
        <v>20</v>
      </c>
      <c r="J24" s="4">
        <f t="shared" si="7"/>
        <v>20</v>
      </c>
      <c r="K24" s="14"/>
      <c r="L24" s="15">
        <f>IF(J24&gt;$E$19,"0",($E$19-J24)*0.08)</f>
        <v>1.68</v>
      </c>
      <c r="M24" s="31">
        <f>IF(L24="0","0",($L$10*0.66)*(1-L24))</f>
        <v>-1445.2072944828517</v>
      </c>
      <c r="N24" s="15" t="str">
        <f aca="true" t="shared" si="13" ref="N24:N35">IF(J24&lt;$E$19,"0",(J24-$E$19)*0.02)</f>
        <v>0</v>
      </c>
      <c r="O24" s="30" t="str">
        <f>IF(N24="0","0",($L$10*0.66)*(1+N24))</f>
        <v>0</v>
      </c>
    </row>
    <row r="25" spans="1:15" ht="12.75">
      <c r="A25" s="19">
        <f>A22+30</f>
        <v>30</v>
      </c>
      <c r="B25" s="32">
        <f t="shared" si="8"/>
        <v>30</v>
      </c>
      <c r="C25" s="4">
        <f t="shared" si="5"/>
        <v>30</v>
      </c>
      <c r="D25" s="14"/>
      <c r="E25" s="15">
        <f t="shared" si="9"/>
        <v>0.88</v>
      </c>
      <c r="F25" s="31">
        <f t="shared" si="10"/>
        <v>253.09395693607334</v>
      </c>
      <c r="G25" s="15" t="str">
        <f t="shared" si="11"/>
        <v>0</v>
      </c>
      <c r="H25" s="36" t="str">
        <f t="shared" si="12"/>
        <v>0</v>
      </c>
      <c r="I25" s="32">
        <f t="shared" si="6"/>
        <v>30</v>
      </c>
      <c r="J25" s="4">
        <f t="shared" si="7"/>
        <v>30</v>
      </c>
      <c r="K25" s="14"/>
      <c r="L25" s="15">
        <f aca="true" t="shared" si="14" ref="L25:L35">IF(J25&gt;$E$19,"0",($E$19-J25)*0.08)</f>
        <v>0.88</v>
      </c>
      <c r="M25" s="31">
        <f aca="true" t="shared" si="15" ref="M25:M35">IF(L25="0","0",($L$10*0.66)*(1-L25))</f>
        <v>255.03658137932678</v>
      </c>
      <c r="N25" s="15" t="str">
        <f t="shared" si="13"/>
        <v>0</v>
      </c>
      <c r="O25" s="30" t="str">
        <f aca="true" t="shared" si="16" ref="O25:O35">IF(N25="0","0",($L$10*0.66)*(1+N25))</f>
        <v>0</v>
      </c>
    </row>
    <row r="26" spans="1:15" ht="12.75">
      <c r="A26" s="19">
        <f>A22+31</f>
        <v>31</v>
      </c>
      <c r="B26" s="32">
        <f t="shared" si="8"/>
        <v>31</v>
      </c>
      <c r="C26" s="4">
        <f t="shared" si="5"/>
        <v>31</v>
      </c>
      <c r="D26" s="14"/>
      <c r="E26" s="15">
        <f t="shared" si="9"/>
        <v>0.8</v>
      </c>
      <c r="F26" s="31">
        <f t="shared" si="10"/>
        <v>421.82326156012215</v>
      </c>
      <c r="G26" s="15" t="str">
        <f t="shared" si="11"/>
        <v>0</v>
      </c>
      <c r="H26" s="36" t="str">
        <f t="shared" si="12"/>
        <v>0</v>
      </c>
      <c r="I26" s="32">
        <f t="shared" si="6"/>
        <v>31</v>
      </c>
      <c r="J26" s="4">
        <f t="shared" si="7"/>
        <v>31</v>
      </c>
      <c r="K26" s="14"/>
      <c r="L26" s="15">
        <f t="shared" si="14"/>
        <v>0.8</v>
      </c>
      <c r="M26" s="31">
        <f t="shared" si="15"/>
        <v>425.06096896554453</v>
      </c>
      <c r="N26" s="15" t="str">
        <f t="shared" si="13"/>
        <v>0</v>
      </c>
      <c r="O26" s="30" t="str">
        <f t="shared" si="16"/>
        <v>0</v>
      </c>
    </row>
    <row r="27" spans="1:15" ht="12.75">
      <c r="A27" s="19">
        <f>A22+32</f>
        <v>32</v>
      </c>
      <c r="B27" s="32">
        <f t="shared" si="8"/>
        <v>32</v>
      </c>
      <c r="C27" s="4">
        <f t="shared" si="5"/>
        <v>32</v>
      </c>
      <c r="D27" s="14"/>
      <c r="E27" s="15">
        <f t="shared" si="9"/>
        <v>0.72</v>
      </c>
      <c r="F27" s="31">
        <f t="shared" si="10"/>
        <v>590.5525661841712</v>
      </c>
      <c r="G27" s="15" t="str">
        <f t="shared" si="11"/>
        <v>0</v>
      </c>
      <c r="H27" s="36" t="str">
        <f t="shared" si="12"/>
        <v>0</v>
      </c>
      <c r="I27" s="32">
        <f t="shared" si="6"/>
        <v>32</v>
      </c>
      <c r="J27" s="4">
        <f t="shared" si="7"/>
        <v>32</v>
      </c>
      <c r="K27" s="14"/>
      <c r="L27" s="15">
        <f t="shared" si="14"/>
        <v>0.72</v>
      </c>
      <c r="M27" s="31">
        <f t="shared" si="15"/>
        <v>595.0853565517625</v>
      </c>
      <c r="N27" s="15" t="str">
        <f t="shared" si="13"/>
        <v>0</v>
      </c>
      <c r="O27" s="30" t="str">
        <f t="shared" si="16"/>
        <v>0</v>
      </c>
    </row>
    <row r="28" spans="1:15" ht="12.75">
      <c r="A28" s="19">
        <f>A22+33</f>
        <v>33</v>
      </c>
      <c r="B28" s="32">
        <f t="shared" si="8"/>
        <v>33</v>
      </c>
      <c r="C28" s="4">
        <f t="shared" si="5"/>
        <v>33</v>
      </c>
      <c r="D28" s="14"/>
      <c r="E28" s="15">
        <f t="shared" si="9"/>
        <v>0.64</v>
      </c>
      <c r="F28" s="31">
        <f t="shared" si="10"/>
        <v>759.28187080822</v>
      </c>
      <c r="G28" s="15" t="str">
        <f t="shared" si="11"/>
        <v>0</v>
      </c>
      <c r="H28" s="36" t="str">
        <f t="shared" si="12"/>
        <v>0</v>
      </c>
      <c r="I28" s="32">
        <f t="shared" si="6"/>
        <v>33</v>
      </c>
      <c r="J28" s="4">
        <f t="shared" si="7"/>
        <v>33</v>
      </c>
      <c r="K28" s="14"/>
      <c r="L28" s="15">
        <f t="shared" si="14"/>
        <v>0.64</v>
      </c>
      <c r="M28" s="31">
        <f t="shared" si="15"/>
        <v>765.1097441379803</v>
      </c>
      <c r="N28" s="15" t="str">
        <f t="shared" si="13"/>
        <v>0</v>
      </c>
      <c r="O28" s="30" t="str">
        <f t="shared" si="16"/>
        <v>0</v>
      </c>
    </row>
    <row r="29" spans="1:15" ht="12.75">
      <c r="A29" s="19">
        <f>A22+34</f>
        <v>34</v>
      </c>
      <c r="B29" s="32">
        <f t="shared" si="8"/>
        <v>34</v>
      </c>
      <c r="C29" s="4">
        <f t="shared" si="5"/>
        <v>34</v>
      </c>
      <c r="D29" s="14"/>
      <c r="E29" s="15">
        <f t="shared" si="9"/>
        <v>0.56</v>
      </c>
      <c r="F29" s="31">
        <f t="shared" si="10"/>
        <v>928.0111754322688</v>
      </c>
      <c r="G29" s="15" t="str">
        <f t="shared" si="11"/>
        <v>0</v>
      </c>
      <c r="H29" s="36" t="str">
        <f t="shared" si="12"/>
        <v>0</v>
      </c>
      <c r="I29" s="32">
        <f t="shared" si="6"/>
        <v>34</v>
      </c>
      <c r="J29" s="4">
        <f t="shared" si="7"/>
        <v>34</v>
      </c>
      <c r="K29" s="14"/>
      <c r="L29" s="15">
        <f t="shared" si="14"/>
        <v>0.56</v>
      </c>
      <c r="M29" s="31">
        <f t="shared" si="15"/>
        <v>935.134131724198</v>
      </c>
      <c r="N29" s="15" t="str">
        <f t="shared" si="13"/>
        <v>0</v>
      </c>
      <c r="O29" s="30" t="str">
        <f t="shared" si="16"/>
        <v>0</v>
      </c>
    </row>
    <row r="30" spans="1:15" ht="12.75">
      <c r="A30" s="19">
        <f>A22+35</f>
        <v>35</v>
      </c>
      <c r="B30" s="32">
        <f t="shared" si="8"/>
        <v>35</v>
      </c>
      <c r="C30" s="4">
        <f t="shared" si="5"/>
        <v>35</v>
      </c>
      <c r="D30" s="14"/>
      <c r="E30" s="15">
        <f t="shared" si="9"/>
        <v>0.48</v>
      </c>
      <c r="F30" s="31">
        <f t="shared" si="10"/>
        <v>1096.740480056318</v>
      </c>
      <c r="G30" s="15" t="str">
        <f t="shared" si="11"/>
        <v>0</v>
      </c>
      <c r="H30" s="36" t="str">
        <f t="shared" si="12"/>
        <v>0</v>
      </c>
      <c r="I30" s="32">
        <f t="shared" si="6"/>
        <v>35</v>
      </c>
      <c r="J30" s="4">
        <f t="shared" si="7"/>
        <v>35</v>
      </c>
      <c r="K30" s="14"/>
      <c r="L30" s="15">
        <f t="shared" si="14"/>
        <v>0.48</v>
      </c>
      <c r="M30" s="31">
        <f t="shared" si="15"/>
        <v>1105.158519310416</v>
      </c>
      <c r="N30" s="15" t="str">
        <f t="shared" si="13"/>
        <v>0</v>
      </c>
      <c r="O30" s="30" t="str">
        <f t="shared" si="16"/>
        <v>0</v>
      </c>
    </row>
    <row r="31" spans="1:15" ht="12.75">
      <c r="A31" s="19">
        <f>A22+36</f>
        <v>36</v>
      </c>
      <c r="B31" s="32">
        <f t="shared" si="8"/>
        <v>36</v>
      </c>
      <c r="C31" s="4">
        <f t="shared" si="5"/>
        <v>36</v>
      </c>
      <c r="D31" s="14"/>
      <c r="E31" s="15">
        <f t="shared" si="9"/>
        <v>0.4</v>
      </c>
      <c r="F31" s="31">
        <f t="shared" si="10"/>
        <v>1265.4697846803667</v>
      </c>
      <c r="G31" s="15" t="str">
        <f t="shared" si="11"/>
        <v>0</v>
      </c>
      <c r="H31" s="36" t="str">
        <f t="shared" si="12"/>
        <v>0</v>
      </c>
      <c r="I31" s="32">
        <f t="shared" si="6"/>
        <v>36</v>
      </c>
      <c r="J31" s="4">
        <f t="shared" si="7"/>
        <v>36</v>
      </c>
      <c r="K31" s="14"/>
      <c r="L31" s="15">
        <f t="shared" si="14"/>
        <v>0.4</v>
      </c>
      <c r="M31" s="31">
        <f t="shared" si="15"/>
        <v>1275.1829068966338</v>
      </c>
      <c r="N31" s="15" t="str">
        <f t="shared" si="13"/>
        <v>0</v>
      </c>
      <c r="O31" s="30" t="str">
        <f t="shared" si="16"/>
        <v>0</v>
      </c>
    </row>
    <row r="32" spans="1:15" ht="12.75">
      <c r="A32" s="19">
        <f>A22+37</f>
        <v>37</v>
      </c>
      <c r="B32" s="32">
        <f t="shared" si="8"/>
        <v>37</v>
      </c>
      <c r="C32" s="4">
        <f t="shared" si="5"/>
        <v>37</v>
      </c>
      <c r="D32" s="14"/>
      <c r="E32" s="15">
        <f>IF(C32&gt;$E$19,"0",($E$19-C32)*0.08)</f>
        <v>0.32</v>
      </c>
      <c r="F32" s="31">
        <f t="shared" si="10"/>
        <v>1434.1990893044153</v>
      </c>
      <c r="G32" s="15" t="str">
        <f t="shared" si="11"/>
        <v>0</v>
      </c>
      <c r="H32" s="36" t="str">
        <f t="shared" si="12"/>
        <v>0</v>
      </c>
      <c r="I32" s="32">
        <f t="shared" si="6"/>
        <v>37</v>
      </c>
      <c r="J32" s="4">
        <f t="shared" si="7"/>
        <v>37</v>
      </c>
      <c r="K32" s="14"/>
      <c r="L32" s="15">
        <f t="shared" si="14"/>
        <v>0.32</v>
      </c>
      <c r="M32" s="31">
        <f t="shared" si="15"/>
        <v>1445.2072944828517</v>
      </c>
      <c r="N32" s="15" t="str">
        <f t="shared" si="13"/>
        <v>0</v>
      </c>
      <c r="O32" s="30" t="str">
        <f t="shared" si="16"/>
        <v>0</v>
      </c>
    </row>
    <row r="33" spans="1:15" ht="12.75">
      <c r="A33" s="19">
        <f>A22+38</f>
        <v>38</v>
      </c>
      <c r="B33" s="32">
        <f t="shared" si="8"/>
        <v>38</v>
      </c>
      <c r="C33" s="4">
        <f t="shared" si="5"/>
        <v>38</v>
      </c>
      <c r="D33" s="14"/>
      <c r="E33" s="15">
        <f>IF(C33&gt;$E$19,"0",($E$19-C33)*0.08)</f>
        <v>0.24</v>
      </c>
      <c r="F33" s="31">
        <f t="shared" si="10"/>
        <v>1602.9283939284644</v>
      </c>
      <c r="G33" s="15" t="str">
        <f t="shared" si="11"/>
        <v>0</v>
      </c>
      <c r="H33" s="30" t="str">
        <f t="shared" si="12"/>
        <v>0</v>
      </c>
      <c r="I33" s="32">
        <f t="shared" si="6"/>
        <v>38</v>
      </c>
      <c r="J33" s="4">
        <f t="shared" si="7"/>
        <v>38</v>
      </c>
      <c r="K33" s="14"/>
      <c r="L33" s="15">
        <f t="shared" si="14"/>
        <v>0.24</v>
      </c>
      <c r="M33" s="31">
        <f t="shared" si="15"/>
        <v>1615.2316820690696</v>
      </c>
      <c r="N33" s="15" t="str">
        <f t="shared" si="13"/>
        <v>0</v>
      </c>
      <c r="O33" s="30" t="str">
        <f t="shared" si="16"/>
        <v>0</v>
      </c>
    </row>
    <row r="34" spans="1:15" ht="12.75">
      <c r="A34" s="19">
        <f>A22+39</f>
        <v>39</v>
      </c>
      <c r="B34" s="32">
        <f t="shared" si="8"/>
        <v>39</v>
      </c>
      <c r="C34" s="4">
        <f t="shared" si="5"/>
        <v>39</v>
      </c>
      <c r="D34" s="14"/>
      <c r="E34" s="15">
        <f>IF(C34&gt;$E$19,"0",($E$19-C34)*0.08)</f>
        <v>0.16</v>
      </c>
      <c r="F34" s="31">
        <f t="shared" si="10"/>
        <v>1771.6576985525132</v>
      </c>
      <c r="G34" s="15" t="str">
        <f t="shared" si="11"/>
        <v>0</v>
      </c>
      <c r="H34" s="30" t="str">
        <f t="shared" si="12"/>
        <v>0</v>
      </c>
      <c r="I34" s="32">
        <f t="shared" si="6"/>
        <v>39</v>
      </c>
      <c r="J34" s="4">
        <f t="shared" si="7"/>
        <v>39</v>
      </c>
      <c r="K34" s="14"/>
      <c r="L34" s="15">
        <f t="shared" si="14"/>
        <v>0.16</v>
      </c>
      <c r="M34" s="31">
        <f t="shared" si="15"/>
        <v>1785.2560696552873</v>
      </c>
      <c r="N34" s="15" t="str">
        <f t="shared" si="13"/>
        <v>0</v>
      </c>
      <c r="O34" s="30" t="str">
        <f t="shared" si="16"/>
        <v>0</v>
      </c>
    </row>
    <row r="35" spans="1:15" ht="13.5" thickBot="1">
      <c r="A35" s="20">
        <f>A22+40</f>
        <v>40</v>
      </c>
      <c r="B35" s="33">
        <f t="shared" si="8"/>
        <v>40</v>
      </c>
      <c r="C35" s="5">
        <f t="shared" si="5"/>
        <v>40</v>
      </c>
      <c r="D35" s="16"/>
      <c r="E35" s="17">
        <f>IF(C35&gt;$E$19,"0",($E$19-C35)*0.08)</f>
        <v>0.08</v>
      </c>
      <c r="F35" s="34">
        <f t="shared" si="10"/>
        <v>1940.3870031765623</v>
      </c>
      <c r="G35" s="17" t="str">
        <f t="shared" si="11"/>
        <v>0</v>
      </c>
      <c r="H35" s="35" t="str">
        <f t="shared" si="12"/>
        <v>0</v>
      </c>
      <c r="I35" s="33">
        <f t="shared" si="6"/>
        <v>40</v>
      </c>
      <c r="J35" s="5">
        <f t="shared" si="7"/>
        <v>40</v>
      </c>
      <c r="K35" s="16"/>
      <c r="L35" s="17">
        <f t="shared" si="14"/>
        <v>0.08</v>
      </c>
      <c r="M35" s="34">
        <f t="shared" si="15"/>
        <v>1955.2804572415055</v>
      </c>
      <c r="N35" s="17" t="str">
        <f t="shared" si="13"/>
        <v>0</v>
      </c>
      <c r="O35" s="35" t="str">
        <f t="shared" si="16"/>
        <v>0</v>
      </c>
    </row>
    <row r="36" spans="1:15" ht="12.75">
      <c r="A36" s="48"/>
      <c r="B36" s="48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1:15" ht="12.75">
      <c r="A37" s="49" t="s">
        <v>25</v>
      </c>
      <c r="B37" s="48"/>
      <c r="C37" s="45"/>
      <c r="D37" s="45"/>
      <c r="E37" s="45"/>
      <c r="F37" s="45"/>
      <c r="G37" s="45"/>
      <c r="H37" s="45"/>
      <c r="I37" s="50" t="s">
        <v>25</v>
      </c>
      <c r="J37" s="45"/>
      <c r="K37" s="45"/>
      <c r="L37" s="45"/>
      <c r="M37" s="45"/>
      <c r="N37" s="45"/>
      <c r="O37" s="45"/>
    </row>
    <row r="38" spans="1:15" ht="12.75">
      <c r="A38" s="49" t="s">
        <v>45</v>
      </c>
      <c r="B38" s="48"/>
      <c r="C38" s="45"/>
      <c r="D38" s="45"/>
      <c r="E38" s="45"/>
      <c r="F38" s="45"/>
      <c r="G38" s="45"/>
      <c r="H38" s="45"/>
      <c r="I38" s="49" t="s">
        <v>7</v>
      </c>
      <c r="J38" s="45"/>
      <c r="K38" s="45"/>
      <c r="L38" s="45"/>
      <c r="M38" s="45"/>
      <c r="N38" s="45"/>
      <c r="O38" s="45"/>
    </row>
    <row r="39" spans="1:15" ht="12.75">
      <c r="A39" s="50" t="s">
        <v>27</v>
      </c>
      <c r="B39" s="45"/>
      <c r="C39" s="45"/>
      <c r="D39" s="45"/>
      <c r="E39" s="45"/>
      <c r="F39" s="47">
        <f>E9*0.75</f>
        <v>2109.116307800611</v>
      </c>
      <c r="G39" s="45"/>
      <c r="H39" s="45"/>
      <c r="I39" s="50" t="s">
        <v>26</v>
      </c>
      <c r="J39" s="45"/>
      <c r="K39" s="45"/>
      <c r="L39" s="45"/>
      <c r="M39" s="45"/>
      <c r="N39" s="47">
        <f>L10*0.66</f>
        <v>2125.304844827723</v>
      </c>
      <c r="O39" s="45"/>
    </row>
    <row r="40" spans="1:15" ht="12.75">
      <c r="A40" s="45"/>
      <c r="B40" s="45"/>
      <c r="C40" s="45"/>
      <c r="D40" s="45"/>
      <c r="E40" s="45"/>
      <c r="F40" s="45"/>
      <c r="G40" s="45"/>
      <c r="H40" s="45"/>
      <c r="I40" s="50"/>
      <c r="J40" s="45"/>
      <c r="K40" s="45"/>
      <c r="L40" s="45"/>
      <c r="M40" s="45"/>
      <c r="N40" s="45"/>
      <c r="O40" s="45"/>
    </row>
    <row r="41" spans="1:15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</sheetData>
  <sheetProtection password="DDE3" sheet="1" objects="1" scenarios="1" selectLockedCells="1"/>
  <mergeCells count="12">
    <mergeCell ref="A17:C17"/>
    <mergeCell ref="A18:C18"/>
    <mergeCell ref="A19:C19"/>
    <mergeCell ref="B20:H20"/>
    <mergeCell ref="I20:O20"/>
    <mergeCell ref="A1:F2"/>
    <mergeCell ref="H1:M2"/>
    <mergeCell ref="A13:C13"/>
    <mergeCell ref="A14:C14"/>
    <mergeCell ref="A15:C15"/>
    <mergeCell ref="G15:I16"/>
    <mergeCell ref="A16:C16"/>
  </mergeCells>
  <printOptions horizontalCentered="1" verticalCentered="1"/>
  <pageMargins left="0.4330708661417323" right="0.4330708661417323" top="0.35433070866141736" bottom="0.35433070866141736" header="0" footer="0"/>
  <pageSetup fitToHeight="1" fitToWidth="1" horizontalDpi="300" verticalDpi="300" orientation="landscape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F18" sqref="F18"/>
    </sheetView>
  </sheetViews>
  <sheetFormatPr defaultColWidth="11.421875" defaultRowHeight="12.75"/>
  <sheetData>
    <row r="2" ht="12.75">
      <c r="A2" s="61" t="s">
        <v>38</v>
      </c>
    </row>
    <row r="3" ht="12.75">
      <c r="A3" s="61" t="s">
        <v>39</v>
      </c>
    </row>
    <row r="5" ht="12.75">
      <c r="A5" s="61" t="s">
        <v>40</v>
      </c>
    </row>
    <row r="6" ht="12.75">
      <c r="A6" s="61" t="s">
        <v>41</v>
      </c>
    </row>
    <row r="7" ht="12.75">
      <c r="A7" s="61" t="s">
        <v>42</v>
      </c>
    </row>
    <row r="9" ht="12.75">
      <c r="A9" s="61" t="s">
        <v>43</v>
      </c>
    </row>
    <row r="11" ht="12.75">
      <c r="A11" s="61" t="s">
        <v>44</v>
      </c>
    </row>
    <row r="14" spans="1:5" ht="12.75">
      <c r="A14" s="92"/>
      <c r="B14" s="93" t="s">
        <v>63</v>
      </c>
      <c r="C14" s="93"/>
      <c r="D14" s="93"/>
      <c r="E14" s="93"/>
    </row>
    <row r="15" spans="1:5" ht="12.75">
      <c r="A15" s="92"/>
      <c r="B15" s="93" t="s">
        <v>56</v>
      </c>
      <c r="C15" s="92"/>
      <c r="D15" s="93" t="s">
        <v>57</v>
      </c>
      <c r="E15" s="92"/>
    </row>
    <row r="16" spans="1:7" ht="12.75">
      <c r="A16" s="69" t="s">
        <v>51</v>
      </c>
      <c r="B16" s="94">
        <f>Ide!E11</f>
        <v>2110.2130921520416</v>
      </c>
      <c r="C16" s="92"/>
      <c r="D16" s="94">
        <f>Ide!L14</f>
        <v>2649.8309930557857</v>
      </c>
      <c r="E16" s="92"/>
      <c r="F16" s="64" t="s">
        <v>59</v>
      </c>
      <c r="G16" s="65">
        <f>D16-B16</f>
        <v>539.6179009037442</v>
      </c>
    </row>
    <row r="17" spans="1:7" ht="12.75">
      <c r="A17" s="69" t="s">
        <v>52</v>
      </c>
      <c r="B17" s="94">
        <f>Ibode!E10</f>
        <v>2500.6683212612547</v>
      </c>
      <c r="C17" s="92"/>
      <c r="D17" s="94">
        <f>Ibode!L14</f>
        <v>2768.283703010266</v>
      </c>
      <c r="E17" s="92"/>
      <c r="F17" s="64" t="s">
        <v>59</v>
      </c>
      <c r="G17" s="65">
        <f>D17-B17</f>
        <v>267.61538174901125</v>
      </c>
    </row>
    <row r="18" spans="1:7" ht="12.75">
      <c r="A18" s="69" t="s">
        <v>53</v>
      </c>
      <c r="B18" s="94">
        <f>Iade!E10</f>
        <v>2649.8309930557857</v>
      </c>
      <c r="C18" s="92"/>
      <c r="D18" s="94">
        <f>Iade!L10</f>
        <v>2816.542214473203</v>
      </c>
      <c r="E18" s="92"/>
      <c r="F18" s="64" t="s">
        <v>59</v>
      </c>
      <c r="G18" s="65">
        <f>D18-B18</f>
        <v>166.71122141741716</v>
      </c>
    </row>
    <row r="19" spans="1:7" ht="12.75">
      <c r="A19" s="69" t="s">
        <v>54</v>
      </c>
      <c r="B19" s="94">
        <f>'Cadre IDE'!E11</f>
        <v>2680.540954895836</v>
      </c>
      <c r="C19" s="92"/>
      <c r="D19" s="94">
        <f>'Cadre IDE'!L14</f>
        <v>2886.7364129647467</v>
      </c>
      <c r="E19" s="92"/>
      <c r="F19" s="64" t="s">
        <v>59</v>
      </c>
      <c r="G19" s="65">
        <f>D19-B19</f>
        <v>206.19545806891074</v>
      </c>
    </row>
    <row r="20" spans="1:7" ht="12.75">
      <c r="A20" s="69" t="s">
        <v>55</v>
      </c>
      <c r="B20" s="94">
        <f>'Cadre sup'!E9</f>
        <v>2812.155077067481</v>
      </c>
      <c r="C20" s="92"/>
      <c r="D20" s="94">
        <f>'Cadre sup'!L10</f>
        <v>3220.1588557995806</v>
      </c>
      <c r="E20" s="92"/>
      <c r="F20" s="64" t="s">
        <v>59</v>
      </c>
      <c r="G20" s="65">
        <f>D20-B20</f>
        <v>408.00377873209936</v>
      </c>
    </row>
    <row r="21" spans="1:7" ht="12.75">
      <c r="A21" s="66"/>
      <c r="B21" s="67"/>
      <c r="C21" s="68"/>
      <c r="D21" s="67"/>
      <c r="E21" s="68"/>
      <c r="F21" s="64"/>
      <c r="G21" s="65"/>
    </row>
    <row r="23" spans="1:5" ht="12.75">
      <c r="A23" s="90"/>
      <c r="B23" s="91" t="s">
        <v>58</v>
      </c>
      <c r="C23" s="91"/>
      <c r="D23" s="91"/>
      <c r="E23" s="91"/>
    </row>
    <row r="24" spans="1:5" ht="12.75">
      <c r="A24" s="90"/>
      <c r="B24" s="91" t="s">
        <v>56</v>
      </c>
      <c r="C24" s="90"/>
      <c r="D24" s="91" t="s">
        <v>57</v>
      </c>
      <c r="E24" s="90"/>
    </row>
    <row r="25" spans="1:7" ht="12.75">
      <c r="A25" s="70" t="s">
        <v>51</v>
      </c>
      <c r="B25" s="89">
        <f>Ide!F44</f>
        <v>1582.659819114031</v>
      </c>
      <c r="C25" s="90"/>
      <c r="D25" s="89">
        <f>Ide!N44</f>
        <v>1748.8884554168187</v>
      </c>
      <c r="E25" s="90"/>
      <c r="F25" s="64" t="s">
        <v>59</v>
      </c>
      <c r="G25" s="65">
        <f>D25-B25</f>
        <v>166.22863630278766</v>
      </c>
    </row>
    <row r="26" spans="1:7" ht="12.75">
      <c r="A26" s="70" t="s">
        <v>52</v>
      </c>
      <c r="B26" s="89">
        <f>Ibode!F44</f>
        <v>1875.501240945941</v>
      </c>
      <c r="C26" s="90"/>
      <c r="D26" s="89">
        <f>Ibode!N44</f>
        <v>1827.0672439867756</v>
      </c>
      <c r="E26" s="90"/>
      <c r="F26" s="64" t="s">
        <v>60</v>
      </c>
      <c r="G26" s="65">
        <f>D26-B26</f>
        <v>-48.43399695916537</v>
      </c>
    </row>
    <row r="27" spans="1:7" ht="12.75">
      <c r="A27" s="70" t="s">
        <v>53</v>
      </c>
      <c r="B27" s="89">
        <f>Iade!F40</f>
        <v>1987.3732447918392</v>
      </c>
      <c r="C27" s="90"/>
      <c r="D27" s="89">
        <f>Iade!N40</f>
        <v>1858.917861552314</v>
      </c>
      <c r="E27" s="90"/>
      <c r="F27" s="64" t="s">
        <v>60</v>
      </c>
      <c r="G27" s="65">
        <f>D27-B27</f>
        <v>-128.4553832395252</v>
      </c>
    </row>
    <row r="28" spans="1:7" ht="12.75">
      <c r="A28" s="70" t="s">
        <v>54</v>
      </c>
      <c r="B28" s="89">
        <f>'Cadre IDE'!F44</f>
        <v>2010.405716171877</v>
      </c>
      <c r="C28" s="90"/>
      <c r="D28" s="89">
        <f>'Cadre IDE'!N44</f>
        <v>1905.2460325567329</v>
      </c>
      <c r="E28" s="90"/>
      <c r="F28" s="64" t="s">
        <v>60</v>
      </c>
      <c r="G28" s="65">
        <f>D28-B28</f>
        <v>-105.1596836151441</v>
      </c>
    </row>
    <row r="29" spans="1:7" ht="12.75">
      <c r="A29" s="70" t="s">
        <v>55</v>
      </c>
      <c r="B29" s="89">
        <f>'Cadre sup'!F39</f>
        <v>2109.116307800611</v>
      </c>
      <c r="C29" s="90"/>
      <c r="D29" s="89">
        <f>'Cadre sup'!N39</f>
        <v>2125.304844827723</v>
      </c>
      <c r="E29" s="90"/>
      <c r="F29" s="64" t="s">
        <v>59</v>
      </c>
      <c r="G29" s="65">
        <f>D29-B29</f>
        <v>16.188537027112034</v>
      </c>
    </row>
  </sheetData>
  <sheetProtection/>
  <mergeCells count="28">
    <mergeCell ref="D25:E25"/>
    <mergeCell ref="B18:C18"/>
    <mergeCell ref="D18:E18"/>
    <mergeCell ref="B19:C19"/>
    <mergeCell ref="B17:C17"/>
    <mergeCell ref="D17:E17"/>
    <mergeCell ref="B24:C24"/>
    <mergeCell ref="D24:E24"/>
    <mergeCell ref="A23:A24"/>
    <mergeCell ref="A14:A15"/>
    <mergeCell ref="B14:E14"/>
    <mergeCell ref="B15:C15"/>
    <mergeCell ref="D15:E15"/>
    <mergeCell ref="B16:C16"/>
    <mergeCell ref="D16:E16"/>
    <mergeCell ref="D19:E19"/>
    <mergeCell ref="B20:C20"/>
    <mergeCell ref="D20:E20"/>
    <mergeCell ref="B29:C29"/>
    <mergeCell ref="D29:E29"/>
    <mergeCell ref="B23:E23"/>
    <mergeCell ref="B26:C26"/>
    <mergeCell ref="D26:E26"/>
    <mergeCell ref="B27:C27"/>
    <mergeCell ref="D27:E27"/>
    <mergeCell ref="B28:C28"/>
    <mergeCell ref="D28:E28"/>
    <mergeCell ref="B25:C2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D.I.T.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urgm1p3</dc:creator>
  <cp:keywords/>
  <dc:description/>
  <cp:lastModifiedBy>arnaud</cp:lastModifiedBy>
  <cp:lastPrinted>2010-04-01T16:17:09Z</cp:lastPrinted>
  <dcterms:created xsi:type="dcterms:W3CDTF">2010-02-11T11:52:15Z</dcterms:created>
  <dcterms:modified xsi:type="dcterms:W3CDTF">2010-06-05T19:22:15Z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-1111935695</vt:i4>
  </property>
  <property fmtid="{D5CDD505-2E9C-101B-9397-08002B2CF9AE}" pid="3" name="_EmailSubject">
    <vt:lpwstr>Notre retraite</vt:lpwstr>
  </property>
  <property fmtid="{D5CDD505-2E9C-101B-9397-08002B2CF9AE}" pid="4" name="_AuthorEmail">
    <vt:lpwstr>IADEURGENCES@CHRU-LILLE.FR</vt:lpwstr>
  </property>
  <property fmtid="{D5CDD505-2E9C-101B-9397-08002B2CF9AE}" pid="5" name="_AuthorEmailDisplayName">
    <vt:lpwstr>IADE URGENCES</vt:lpwstr>
  </property>
  <property fmtid="{D5CDD505-2E9C-101B-9397-08002B2CF9AE}" pid="6" name="_ReviewingToolsShownOnce">
    <vt:lpwstr/>
  </property>
</Properties>
</file>